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60" activeTab="0"/>
  </bookViews>
  <sheets>
    <sheet name="Lexington model 85% &amp; lower %" sheetId="1" r:id="rId1"/>
    <sheet name="Data from 18 cities &amp; towns" sheetId="2" r:id="rId2"/>
  </sheets>
  <definedNames>
    <definedName name="_xlnm.Print_Area" localSheetId="1">'Data from 18 cities &amp; towns'!$B$5:$AO$22</definedName>
    <definedName name="_xlnm.Print_Area" localSheetId="0">'Lexington model 85% &amp; lower %'!$A$1:$O$91</definedName>
    <definedName name="_xlnm.Print_Titles" localSheetId="1">'Data from 18 cities &amp; towns'!$A:$A,'Data from 18 cities &amp; towns'!$2:$3</definedName>
  </definedNames>
  <calcPr fullCalcOnLoad="1"/>
</workbook>
</file>

<file path=xl/sharedStrings.xml><?xml version="1.0" encoding="utf-8"?>
<sst xmlns="http://schemas.openxmlformats.org/spreadsheetml/2006/main" count="272" uniqueCount="173">
  <si>
    <t>Jessica Porter HR Dir 781-687-6181</t>
  </si>
  <si>
    <t>61%-83% for most popular HMO plan</t>
  </si>
  <si>
    <t>total incl non-eligible</t>
  </si>
  <si>
    <t xml:space="preserve">  Net earnings</t>
  </si>
  <si>
    <t xml:space="preserve">  TOTAL</t>
  </si>
  <si>
    <t xml:space="preserve">    of which in individual plans:</t>
  </si>
  <si>
    <t>derived from Carl's 2009 ATM presentation (slide 16, March 25, 2009)</t>
  </si>
  <si>
    <t xml:space="preserve">  on individual plan</t>
  </si>
  <si>
    <t xml:space="preserve">  on family plan</t>
  </si>
  <si>
    <t>Towns that did not respond</t>
  </si>
  <si>
    <t>Data from cities and towns that responded (left graph below)</t>
  </si>
  <si>
    <t>Michael Young Deputy Town Adm 508-647-6404 sec Maureen Fleming x1401</t>
  </si>
  <si>
    <t>Laurie Rice Payroll &amp; Benefits 978-356-6601 x3</t>
  </si>
  <si>
    <t>Hingham</t>
  </si>
  <si>
    <t>Kathy Glenzel Benefits Coordinator 781-741-1400</t>
  </si>
  <si>
    <t>Acton</t>
  </si>
  <si>
    <t>per year now</t>
  </si>
  <si>
    <t xml:space="preserve">  Federal &amp; State taxes</t>
  </si>
  <si>
    <r>
      <t xml:space="preserve">A salary increase for </t>
    </r>
    <r>
      <rPr>
        <u val="single"/>
        <sz val="10"/>
        <rFont val="Arial"/>
        <family val="0"/>
      </rPr>
      <t>all</t>
    </r>
    <r>
      <rPr>
        <sz val="10"/>
        <rFont val="Arial"/>
        <family val="0"/>
      </rPr>
      <t xml:space="preserve"> full-time employees of:</t>
    </r>
  </si>
  <si>
    <t>Savings for Lexington, before salary increases</t>
  </si>
  <si>
    <t xml:space="preserve">  Salary</t>
  </si>
  <si>
    <t xml:space="preserve">  Cost of health benefits</t>
  </si>
  <si>
    <t>If single (will stay on Lexington's plans)</t>
  </si>
  <si>
    <t>Sherborn</t>
  </si>
  <si>
    <t>Winchester</t>
  </si>
  <si>
    <t>Watertown</t>
  </si>
  <si>
    <t>no FT, PT data; including Light Plant</t>
  </si>
  <si>
    <t>we gave this data to Lexington HR a few years ago, and it hasn't changed</t>
  </si>
  <si>
    <t>Concord</t>
  </si>
  <si>
    <t>Lincoln</t>
  </si>
  <si>
    <t>Westwood</t>
  </si>
  <si>
    <t>Needham</t>
  </si>
  <si>
    <t>Bedford</t>
  </si>
  <si>
    <t>Brookline</t>
  </si>
  <si>
    <t>Burlington</t>
  </si>
  <si>
    <t>Belmont</t>
  </si>
  <si>
    <t>Newton</t>
  </si>
  <si>
    <t>Wellesley</t>
  </si>
  <si>
    <t>no FT, PT data</t>
  </si>
  <si>
    <t>Federal &amp; State tax rate</t>
  </si>
  <si>
    <t>Added pre-tax cost for employee</t>
  </si>
  <si>
    <t># full-time employees</t>
  </si>
  <si>
    <t>costs Lexington</t>
  </si>
  <si>
    <t>Wayland</t>
  </si>
  <si>
    <t>Mary Beth Bernard HR Dir 781-320-1028 (or Barbara Moore HR Dept 781-320-1025 out Tuesdays)</t>
  </si>
  <si>
    <t>Town</t>
  </si>
  <si>
    <t>contributes</t>
  </si>
  <si>
    <t xml:space="preserve">  Net after-tax earnings</t>
  </si>
  <si>
    <r>
      <t>more</t>
    </r>
    <r>
      <rPr>
        <sz val="10"/>
        <rFont val="Arial"/>
        <family val="0"/>
      </rPr>
      <t xml:space="preserve"> of health premium than Lexington</t>
    </r>
  </si>
  <si>
    <t>Added after-tax cost for employee on Lexington plans</t>
  </si>
  <si>
    <t>If married (and staying on Lexington's plans)</t>
  </si>
  <si>
    <t>If married (and moving to spouse employer's plans)</t>
  </si>
  <si>
    <t xml:space="preserve">     Increase in after-tax yearly earnings for this employee:</t>
  </si>
  <si>
    <t>(assumed)</t>
  </si>
  <si>
    <t>as of:</t>
  </si>
  <si>
    <t>Data</t>
  </si>
  <si>
    <t>distorted because total # employees includes non benefits-eligible employees</t>
  </si>
  <si>
    <t>Total (mun &amp; school)</t>
  </si>
  <si>
    <t>Tony Logalbo 978-318-3090 Finance Dir per Amy Foley 978-318-3025 HR Dir; Beth Duddy 978-202-1102 (schools)</t>
  </si>
  <si>
    <t>Elizabeth Dennis HR Dir 781-455-7530 x276; Sophie Grintchenko Benefits Adm 781-455-7530 x235</t>
  </si>
  <si>
    <t>Full-time employee earning:</t>
  </si>
  <si>
    <t>% FT Enrolled</t>
  </si>
  <si>
    <t>Susan Adler HR Dir 781-431-1019 x2244</t>
  </si>
  <si>
    <t>Thomas Tracy, Town Auditor 617-972-6460 per Gayle Shattuck Personnel Dir 617-972-6443</t>
  </si>
  <si>
    <t>Woburn</t>
  </si>
  <si>
    <t>% premiums Town</t>
  </si>
  <si>
    <t>Donna Lemoyne 508-358-3612</t>
  </si>
  <si>
    <t>Denise Casey HR Dir</t>
  </si>
  <si>
    <t>single 79%, family 72%; indemnity 50% (only 1-2 empl)</t>
  </si>
  <si>
    <t>School ratio</t>
  </si>
  <si>
    <t>PT as a % of FT</t>
  </si>
  <si>
    <t>now</t>
  </si>
  <si>
    <t xml:space="preserve">  municipal employees in individual plan</t>
  </si>
  <si>
    <t xml:space="preserve">  municipal employees in family plan</t>
  </si>
  <si>
    <t xml:space="preserve">  school employees in family plan</t>
  </si>
  <si>
    <t xml:space="preserve">  municipal</t>
  </si>
  <si>
    <t xml:space="preserve">  schools</t>
  </si>
  <si>
    <t># employees taking benefits</t>
  </si>
  <si>
    <t xml:space="preserve">    TOTAL</t>
  </si>
  <si>
    <t xml:space="preserve">    TOTAL</t>
  </si>
  <si>
    <t>NOW</t>
  </si>
  <si>
    <t>Lexington</t>
  </si>
  <si>
    <t>Source:</t>
  </si>
  <si>
    <t>% of eligible employees taking benefits</t>
  </si>
  <si>
    <t>Lexington</t>
  </si>
  <si>
    <t>ACTIVE EMPLOYEES</t>
  </si>
  <si>
    <t>rcvitkovich@mail.ab.mec.edu</t>
  </si>
  <si>
    <t>Acton-Boxborough school district</t>
  </si>
  <si>
    <t>Ruth Cvitkovich Benefits Adm 978.264.4700 x3214</t>
  </si>
  <si>
    <t>Cost to Town</t>
  </si>
  <si>
    <t xml:space="preserve">  family plans</t>
  </si>
  <si>
    <t xml:space="preserve">  individual plans</t>
  </si>
  <si>
    <t>Town contribution to health premiums</t>
  </si>
  <si>
    <t># benefits-eligible employees</t>
  </si>
  <si>
    <t>Carl's 1/14/10 email attachment</t>
  </si>
  <si>
    <t>Types of plans taken</t>
  </si>
  <si>
    <t>varies by plan</t>
  </si>
  <si>
    <t>Natick</t>
  </si>
  <si>
    <t>Paul Deschenes Benefits Mgr 617-796-1260</t>
  </si>
  <si>
    <t>Jan Cox HR Dir 781-932-4459</t>
  </si>
  <si>
    <t>% PT Enrolled</t>
  </si>
  <si>
    <t>most employees in EPO plan, few at 50% in PPO/POS plans</t>
  </si>
  <si>
    <t>Waltham</t>
  </si>
  <si>
    <t>Ellen Howard Payroll Coordinator 781-721-7116</t>
  </si>
  <si>
    <t xml:space="preserve">y = 0.6544x + 0.2787 </t>
  </si>
  <si>
    <r>
      <t xml:space="preserve">Data removed for 6 towns with </t>
    </r>
    <r>
      <rPr>
        <b/>
        <u val="single"/>
        <sz val="10"/>
        <rFont val="Arial"/>
        <family val="0"/>
      </rPr>
      <t>low</t>
    </r>
    <r>
      <rPr>
        <b/>
        <sz val="10"/>
        <rFont val="Arial"/>
        <family val="2"/>
      </rPr>
      <t xml:space="preserve"> subscription rate to create a "conservative" trend line (right graph below)</t>
    </r>
  </si>
  <si>
    <r>
      <t>assumption (change this %</t>
    </r>
    <r>
      <rPr>
        <sz val="10"/>
        <rFont val="Arial"/>
        <family val="0"/>
      </rPr>
      <t>)</t>
    </r>
  </si>
  <si>
    <t>balance</t>
  </si>
  <si>
    <t xml:space="preserve">    This increase applies for (# employees):</t>
  </si>
  <si>
    <t>Carole Pessotti 617-993-2743</t>
  </si>
  <si>
    <t>Krystal Feeley 781-259-2606 Asst Treas</t>
  </si>
  <si>
    <t>Arlington</t>
  </si>
  <si>
    <t>PT</t>
  </si>
  <si>
    <t>Not Enrolled</t>
  </si>
  <si>
    <t>% Not Enrolled</t>
  </si>
  <si>
    <t>Weston</t>
  </si>
  <si>
    <t xml:space="preserve">  school employees in individual plan</t>
  </si>
  <si>
    <t xml:space="preserve">  TOTAL employees in family plan</t>
  </si>
  <si>
    <t xml:space="preserve">  TOTAL employees in individual plan</t>
  </si>
  <si>
    <t>FY10 projection (Carl's 2009 ATM presentation, slide 15, March 25, 2009)</t>
  </si>
  <si>
    <t>Ipswich</t>
  </si>
  <si>
    <t>Brian Curtin Treasurer/Collector 781-270-1625 per Jayne Hyde Benefits Adm 781-270-1622</t>
  </si>
  <si>
    <t>Descom (Pete) Hoagland  Treas 508-651-7859</t>
  </si>
  <si>
    <t>most popular; also 87% or 67%</t>
  </si>
  <si>
    <t>School</t>
  </si>
  <si>
    <t>Municipal</t>
  </si>
  <si>
    <t>Eligible</t>
  </si>
  <si>
    <t>Enrolled</t>
  </si>
  <si>
    <t>% Enrolled</t>
  </si>
  <si>
    <t>FT</t>
  </si>
  <si>
    <t>Vicky Cushman HR Benefits Coordinator 781-893-7320 x307</t>
  </si>
  <si>
    <t xml:space="preserve">    of which in family plans:</t>
  </si>
  <si>
    <t>FY10 Town cost of each individual plan</t>
  </si>
  <si>
    <t>FY10 Town cost of each family plan</t>
  </si>
  <si>
    <t>FUTURE</t>
  </si>
  <si>
    <t xml:space="preserve">  of which individual plans:</t>
  </si>
  <si>
    <t xml:space="preserve">  of which family plans:</t>
  </si>
  <si>
    <t>ttracy@watertown-ma.gov,gshattuck@watertown-ma.gov</t>
  </si>
  <si>
    <t>JCox@cityofwoburn.com</t>
  </si>
  <si>
    <t>dlemoyne@wayland.ma.us</t>
  </si>
  <si>
    <t>bcurtin@burlmass.org,jhyde@burlmass.org</t>
  </si>
  <si>
    <t>mayor@city.waltham.ma.us,barnold@city.waltham.ma.us,kmurphy@city.waltham.ma.us</t>
  </si>
  <si>
    <t>CMalloy@town.arlington.ma.us,SDunton@town.arlington.ma.us</t>
  </si>
  <si>
    <t>cushman.v@westonmass.org</t>
  </si>
  <si>
    <t>mfleckner@acton-ma.gov,maltieri@mail.ab.mec.edu,ckraus@acton-ma.gov,rcvitkovich@mail.ab.mec.edu</t>
  </si>
  <si>
    <t>ehoward@winchester.us</t>
  </si>
  <si>
    <t>pdeschenes@newtonma.gov</t>
  </si>
  <si>
    <t>SGrintchenko@needhamma.gov,edennis@needhamma.gov</t>
  </si>
  <si>
    <t>jporter@town.bedford.ma.us</t>
  </si>
  <si>
    <t>bduddy@colonial.net,alogalbo@concordma.gov,afoley@concordma.gov</t>
  </si>
  <si>
    <t>feeleyk@lincolntown.org</t>
  </si>
  <si>
    <t>kathleen_mcginnis@town.brookline.ma.us</t>
  </si>
  <si>
    <t>sadler@wellesleyma.gov</t>
  </si>
  <si>
    <t>glenzelk@hingham-ma.com</t>
  </si>
  <si>
    <t>Marianne Fleckner HR Dir 978-264-9603, Claire Kraus HR Asst; Schools: 978.264.4700 Ruth Cvitkovich Benefits Adm x3214, Marie Altieri x3212, Judy Segal x 3209</t>
  </si>
  <si>
    <t>cpessotti@belmont-ma.gov</t>
  </si>
  <si>
    <t>treasurer@sherbornma.org</t>
  </si>
  <si>
    <t>dcasey@lexingtonma.gov</t>
  </si>
  <si>
    <t>myoung@natickma.org</t>
  </si>
  <si>
    <t>mbbernard@townhall.westwood.ma.us,bjmoore@townhall.westwood.ma.us</t>
  </si>
  <si>
    <t xml:space="preserve">       or (% of all full-time employees):</t>
  </si>
  <si>
    <t xml:space="preserve">   assuming spouse's employer covers</t>
  </si>
  <si>
    <t>Notes</t>
  </si>
  <si>
    <t>based on "conservative" straight</t>
  </si>
  <si>
    <t>line in the other tab</t>
  </si>
  <si>
    <t>same as now (single employees cannot switch to spouse's employer plan)</t>
  </si>
  <si>
    <t>Contacts</t>
  </si>
  <si>
    <t>Caryn Malloy Personnel Dir 781-316-3121; Shirley Dunton Benefits Adm 781-316-3120</t>
  </si>
  <si>
    <t>Kathy McGinnis 617-730-2120</t>
  </si>
  <si>
    <t>Mayor McCarthy 781-314-3102 or 01 asst Julie; Kristin Murphy Personnel Dir 781-314-3355: forwards my request to Betty Arnold, Payroll Director 781-314-3271</t>
  </si>
  <si>
    <t>Emails</t>
  </si>
  <si>
    <t>laurier@ipswich-ma.gov</t>
  </si>
  <si>
    <t>Net savings for Lexington: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</si>
</sst>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0.0%"/>
    <numFmt numFmtId="167" formatCode="0.0"/>
    <numFmt numFmtId="168" formatCode="&quot;$&quot;#,##0"/>
    <numFmt numFmtId="169" formatCode="\$#,##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0"/>
      <color indexed="8"/>
      <name val="Calibri"/>
      <family val="0"/>
    </font>
    <font>
      <sz val="8"/>
      <name val="Verdan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9" fontId="0" fillId="33" borderId="0" xfId="0" applyNumberFormat="1" applyFont="1" applyFill="1" applyBorder="1" applyAlignment="1">
      <alignment horizontal="left"/>
    </xf>
    <xf numFmtId="9" fontId="0" fillId="34" borderId="0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0" fillId="33" borderId="0" xfId="0" applyNumberFormat="1" applyFont="1" applyFill="1" applyBorder="1" applyAlignment="1">
      <alignment horizontal="left"/>
    </xf>
    <xf numFmtId="166" fontId="3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8" fontId="0" fillId="0" borderId="0" xfId="0" applyNumberFormat="1" applyFill="1" applyAlignment="1">
      <alignment/>
    </xf>
    <xf numFmtId="9" fontId="0" fillId="35" borderId="0" xfId="0" applyNumberFormat="1" applyFont="1" applyFill="1" applyAlignment="1">
      <alignment/>
    </xf>
    <xf numFmtId="168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8" fontId="8" fillId="19" borderId="0" xfId="0" applyNumberFormat="1" applyFont="1" applyFill="1" applyAlignment="1">
      <alignment/>
    </xf>
    <xf numFmtId="0" fontId="3" fillId="19" borderId="0" xfId="0" applyFont="1" applyFill="1" applyAlignment="1">
      <alignment horizontal="right"/>
    </xf>
    <xf numFmtId="9" fontId="0" fillId="19" borderId="0" xfId="0" applyNumberFormat="1" applyFont="1" applyFill="1" applyAlignment="1">
      <alignment/>
    </xf>
    <xf numFmtId="166" fontId="0" fillId="19" borderId="0" xfId="0" applyNumberFormat="1" applyFont="1" applyFill="1" applyAlignment="1">
      <alignment/>
    </xf>
    <xf numFmtId="168" fontId="0" fillId="19" borderId="0" xfId="0" applyNumberFormat="1" applyFill="1" applyAlignment="1">
      <alignment/>
    </xf>
    <xf numFmtId="0" fontId="8" fillId="0" borderId="0" xfId="0" applyFont="1" applyAlignment="1">
      <alignment/>
    </xf>
    <xf numFmtId="0" fontId="4" fillId="19" borderId="0" xfId="0" applyFont="1" applyFill="1" applyAlignment="1">
      <alignment horizontal="right"/>
    </xf>
    <xf numFmtId="9" fontId="8" fillId="19" borderId="0" xfId="0" applyNumberFormat="1" applyFont="1" applyFill="1" applyAlignment="1">
      <alignment/>
    </xf>
    <xf numFmtId="168" fontId="8" fillId="0" borderId="0" xfId="0" applyNumberFormat="1" applyFont="1" applyAlignment="1">
      <alignment/>
    </xf>
    <xf numFmtId="0" fontId="0" fillId="19" borderId="0" xfId="0" applyFill="1" applyAlignment="1">
      <alignment/>
    </xf>
    <xf numFmtId="168" fontId="0" fillId="19" borderId="0" xfId="0" applyNumberFormat="1" applyFont="1" applyFill="1" applyAlignment="1">
      <alignment/>
    </xf>
    <xf numFmtId="1" fontId="0" fillId="19" borderId="0" xfId="0" applyNumberFormat="1" applyFill="1" applyAlignment="1">
      <alignment/>
    </xf>
    <xf numFmtId="168" fontId="0" fillId="19" borderId="10" xfId="0" applyNumberFormat="1" applyFont="1" applyFill="1" applyBorder="1" applyAlignment="1">
      <alignment/>
    </xf>
    <xf numFmtId="168" fontId="0" fillId="19" borderId="11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9" fontId="8" fillId="35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19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375"/>
          <c:w val="0.9007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'Lexington model 85% &amp; lower %'!$H$29:$O$29</c:f>
              <c:numCache/>
            </c:numRef>
          </c:xVal>
          <c:yVal>
            <c:numRef>
              <c:f>'Lexington model 85% &amp; lower %'!$H$61:$O$61</c:f>
              <c:numCache/>
            </c:numRef>
          </c:yVal>
          <c:smooth val="0"/>
        </c:ser>
        <c:axId val="39084064"/>
        <c:axId val="16212257"/>
      </c:scatterChart>
      <c:valAx>
        <c:axId val="39084064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Lexington's % contribution to health premiums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212257"/>
        <c:crosses val="autoZero"/>
        <c:crossBetween val="midCat"/>
        <c:dispUnits/>
      </c:valAx>
      <c:valAx>
        <c:axId val="1621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Annual savings for Lexington, net of across-the-board salary increases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084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-0.004"/>
          <c:w val="0.87925"/>
          <c:h val="0.9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'Data from 18 cities &amp; towns'!$E$5:$E$22</c:f>
              <c:numCache/>
            </c:numRef>
          </c:xVal>
          <c:yVal>
            <c:numRef>
              <c:f>'Data from 18 cities &amp; towns'!$AL$5:$AL$22</c:f>
              <c:numCache/>
            </c:numRef>
          </c:yVal>
          <c:smooth val="0"/>
        </c:ser>
        <c:axId val="11692586"/>
        <c:axId val="38124411"/>
      </c:scatterChart>
      <c:valAx>
        <c:axId val="11692586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town contribution to health premiums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4411"/>
        <c:crosses val="autoZero"/>
        <c:crossBetween val="midCat"/>
        <c:dispUnits/>
        <c:majorUnit val="0.05000000000000001"/>
        <c:minorUnit val="0.05000000000000001"/>
      </c:valAx>
      <c:valAx>
        <c:axId val="38124411"/>
        <c:scaling>
          <c:orientation val="minMax"/>
          <c:max val="0.88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subscribers as a % of benefits-eligible employees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2586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-0.00375"/>
          <c:w val="0.891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from 18 cities &amp; towns'!$E$25:$E$33</c:f>
              <c:numCache/>
            </c:numRef>
          </c:xVal>
          <c:yVal>
            <c:numRef>
              <c:f>'Data from 18 cities &amp; towns'!$AL$25:$AL$33</c:f>
              <c:numCache/>
            </c:numRef>
          </c:yVal>
          <c:smooth val="0"/>
        </c:ser>
        <c:axId val="7575380"/>
        <c:axId val="1069557"/>
      </c:scatterChart>
      <c:valAx>
        <c:axId val="7575380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town contribution to health premiums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9557"/>
        <c:crosses val="autoZero"/>
        <c:crossBetween val="midCat"/>
        <c:dispUnits/>
        <c:majorUnit val="0.05000000000000001"/>
        <c:minorUnit val="0.05000000000000001"/>
      </c:valAx>
      <c:valAx>
        <c:axId val="1069557"/>
        <c:scaling>
          <c:orientation val="minMax"/>
          <c:max val="0.88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subscribers as a % of benefits-eligible employees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5380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14</xdr:col>
      <xdr:colOff>561975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667375" y="3810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66675</xdr:rowOff>
    </xdr:from>
    <xdr:to>
      <xdr:col>5</xdr:col>
      <xdr:colOff>447675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47625" y="6324600"/>
        <a:ext cx="41433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41</xdr:row>
      <xdr:rowOff>66675</xdr:rowOff>
    </xdr:from>
    <xdr:to>
      <xdr:col>17</xdr:col>
      <xdr:colOff>9525</xdr:colOff>
      <xdr:row>62</xdr:row>
      <xdr:rowOff>133350</xdr:rowOff>
    </xdr:to>
    <xdr:graphicFrame>
      <xdr:nvGraphicFramePr>
        <xdr:cNvPr id="2" name="Chart 3"/>
        <xdr:cNvGraphicFramePr/>
      </xdr:nvGraphicFramePr>
      <xdr:xfrm>
        <a:off x="4257675" y="6324600"/>
        <a:ext cx="45529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125" zoomScaleNormal="125" workbookViewId="0" topLeftCell="A51">
      <selection activeCell="B84" sqref="B84"/>
    </sheetView>
  </sheetViews>
  <sheetFormatPr defaultColWidth="11.421875" defaultRowHeight="12.75"/>
  <cols>
    <col min="1" max="1" width="33.28125" style="0" customWidth="1"/>
    <col min="2" max="2" width="10.140625" style="12" customWidth="1"/>
    <col min="4" max="4" width="9.00390625" style="0" customWidth="1"/>
    <col min="5" max="5" width="10.140625" style="0" customWidth="1"/>
    <col min="6" max="6" width="10.7109375" style="0" customWidth="1"/>
    <col min="7" max="7" width="10.421875" style="0" customWidth="1"/>
    <col min="8" max="15" width="10.00390625" style="0" customWidth="1"/>
  </cols>
  <sheetData>
    <row r="1" spans="1:3" s="19" customFormat="1" ht="12">
      <c r="A1" s="25" t="s">
        <v>81</v>
      </c>
      <c r="B1" s="55" t="s">
        <v>80</v>
      </c>
      <c r="C1" s="19" t="s">
        <v>82</v>
      </c>
    </row>
    <row r="2" spans="1:6" s="19" customFormat="1" ht="12">
      <c r="A2" s="12" t="s">
        <v>93</v>
      </c>
      <c r="B2" s="12"/>
      <c r="C2" s="12"/>
      <c r="F2" s="42"/>
    </row>
    <row r="3" spans="1:6" s="19" customFormat="1" ht="12">
      <c r="A3" s="12" t="s">
        <v>75</v>
      </c>
      <c r="B3" s="22">
        <v>301</v>
      </c>
      <c r="C3" s="67" t="s">
        <v>94</v>
      </c>
      <c r="D3" s="68"/>
      <c r="F3" s="42"/>
    </row>
    <row r="4" spans="1:15" s="19" customFormat="1" ht="12">
      <c r="A4" s="12" t="s">
        <v>76</v>
      </c>
      <c r="B4" s="29">
        <v>1028</v>
      </c>
      <c r="C4" s="68"/>
      <c r="D4" s="68"/>
      <c r="F4" s="43"/>
      <c r="H4" s="12"/>
      <c r="I4" s="12"/>
      <c r="J4" s="12"/>
      <c r="K4" s="12"/>
      <c r="L4" s="12"/>
      <c r="M4" s="12"/>
      <c r="N4" s="12"/>
      <c r="O4" s="12"/>
    </row>
    <row r="5" spans="1:6" s="19" customFormat="1" ht="12">
      <c r="A5" s="12" t="s">
        <v>79</v>
      </c>
      <c r="B5" s="21">
        <f>B3+B4</f>
        <v>1329</v>
      </c>
      <c r="C5" s="12"/>
      <c r="F5" s="42"/>
    </row>
    <row r="6" spans="1:6" s="19" customFormat="1" ht="12">
      <c r="A6" s="12"/>
      <c r="B6" s="21"/>
      <c r="C6" s="12"/>
      <c r="F6" s="42"/>
    </row>
    <row r="7" spans="1:6" s="19" customFormat="1" ht="12">
      <c r="A7" s="12" t="s">
        <v>41</v>
      </c>
      <c r="B7" s="21"/>
      <c r="C7" s="12"/>
      <c r="F7" s="42"/>
    </row>
    <row r="8" spans="1:6" s="19" customFormat="1" ht="12">
      <c r="A8" s="12" t="s">
        <v>75</v>
      </c>
      <c r="B8" s="22">
        <v>288</v>
      </c>
      <c r="C8" s="67" t="s">
        <v>94</v>
      </c>
      <c r="D8" s="68"/>
      <c r="F8" s="42"/>
    </row>
    <row r="9" spans="1:6" s="19" customFormat="1" ht="12">
      <c r="A9" s="12" t="s">
        <v>76</v>
      </c>
      <c r="B9" s="29">
        <v>676</v>
      </c>
      <c r="C9" s="68"/>
      <c r="D9" s="68"/>
      <c r="F9" s="42"/>
    </row>
    <row r="10" spans="1:6" s="19" customFormat="1" ht="12">
      <c r="A10" s="12" t="s">
        <v>79</v>
      </c>
      <c r="B10" s="21">
        <f>B8+B9</f>
        <v>964</v>
      </c>
      <c r="C10" s="12"/>
      <c r="F10" s="42"/>
    </row>
    <row r="11" spans="1:6" s="19" customFormat="1" ht="12">
      <c r="A11" s="12"/>
      <c r="B11" s="21"/>
      <c r="C11" s="12"/>
      <c r="F11" s="42"/>
    </row>
    <row r="12" spans="1:6" s="19" customFormat="1" ht="12">
      <c r="A12" s="12" t="s">
        <v>77</v>
      </c>
      <c r="B12" s="21"/>
      <c r="C12" s="12"/>
      <c r="F12" s="42"/>
    </row>
    <row r="13" spans="1:6" s="19" customFormat="1" ht="12">
      <c r="A13" s="12" t="s">
        <v>75</v>
      </c>
      <c r="B13" s="22">
        <v>269</v>
      </c>
      <c r="C13" s="67" t="s">
        <v>94</v>
      </c>
      <c r="D13" s="68"/>
      <c r="F13" s="42"/>
    </row>
    <row r="14" spans="1:6" ht="12">
      <c r="A14" s="12" t="s">
        <v>76</v>
      </c>
      <c r="B14" s="29">
        <v>841</v>
      </c>
      <c r="C14" s="68"/>
      <c r="D14" s="68"/>
      <c r="F14" s="44"/>
    </row>
    <row r="15" spans="1:6" ht="12">
      <c r="A15" s="12" t="s">
        <v>79</v>
      </c>
      <c r="B15" s="21">
        <f>B13+B14</f>
        <v>1110</v>
      </c>
      <c r="C15" s="12"/>
      <c r="F15" s="44"/>
    </row>
    <row r="16" spans="1:6" ht="12">
      <c r="A16" s="12"/>
      <c r="B16" s="21"/>
      <c r="C16" s="12"/>
      <c r="F16" s="44"/>
    </row>
    <row r="17" spans="1:6" ht="12">
      <c r="A17" s="12" t="s">
        <v>95</v>
      </c>
      <c r="B17" s="21"/>
      <c r="C17" s="12"/>
      <c r="F17" s="44"/>
    </row>
    <row r="18" spans="1:6" ht="12">
      <c r="A18" s="12" t="s">
        <v>72</v>
      </c>
      <c r="B18" s="21">
        <v>71</v>
      </c>
      <c r="C18" s="69" t="s">
        <v>119</v>
      </c>
      <c r="D18" s="70"/>
      <c r="F18" s="44"/>
    </row>
    <row r="19" spans="1:6" ht="12">
      <c r="A19" s="12" t="s">
        <v>73</v>
      </c>
      <c r="B19" s="21">
        <v>198</v>
      </c>
      <c r="C19" s="70"/>
      <c r="D19" s="70"/>
      <c r="F19" s="44"/>
    </row>
    <row r="20" spans="1:6" ht="12">
      <c r="A20" s="12" t="s">
        <v>116</v>
      </c>
      <c r="B20" s="21">
        <v>333</v>
      </c>
      <c r="C20" s="70"/>
      <c r="D20" s="70"/>
      <c r="F20" s="44"/>
    </row>
    <row r="21" spans="1:6" ht="12">
      <c r="A21" s="12" t="s">
        <v>74</v>
      </c>
      <c r="B21" s="21">
        <v>478</v>
      </c>
      <c r="C21" s="70"/>
      <c r="D21" s="70"/>
      <c r="F21" s="44"/>
    </row>
    <row r="22" spans="1:6" ht="12">
      <c r="A22" s="12" t="s">
        <v>118</v>
      </c>
      <c r="B22" s="21">
        <f>B18+B20</f>
        <v>404</v>
      </c>
      <c r="C22" s="12"/>
      <c r="F22" s="44"/>
    </row>
    <row r="23" spans="1:6" ht="12">
      <c r="A23" s="12" t="s">
        <v>117</v>
      </c>
      <c r="B23" s="21">
        <f>B19+B21</f>
        <v>676</v>
      </c>
      <c r="C23" s="12"/>
      <c r="F23" s="44"/>
    </row>
    <row r="24" spans="1:6" ht="12">
      <c r="A24" s="12"/>
      <c r="B24" s="21"/>
      <c r="C24" s="12"/>
      <c r="F24" s="44"/>
    </row>
    <row r="25" spans="1:6" ht="12">
      <c r="A25" s="12" t="s">
        <v>4</v>
      </c>
      <c r="B25" s="21">
        <f>B22+B23</f>
        <v>1080</v>
      </c>
      <c r="C25" s="12"/>
      <c r="F25" s="44"/>
    </row>
    <row r="26" spans="1:6" ht="12">
      <c r="A26" s="12" t="s">
        <v>5</v>
      </c>
      <c r="B26" s="23">
        <f>B22/B25</f>
        <v>0.37407407407407406</v>
      </c>
      <c r="C26" s="12"/>
      <c r="F26" s="44"/>
    </row>
    <row r="27" spans="1:6" ht="12">
      <c r="A27" s="12" t="s">
        <v>131</v>
      </c>
      <c r="B27" s="23">
        <f>B23/B25</f>
        <v>0.6259259259259259</v>
      </c>
      <c r="C27" s="12"/>
      <c r="F27" s="44"/>
    </row>
    <row r="28" spans="1:15" ht="12">
      <c r="A28" s="12"/>
      <c r="B28" s="23"/>
      <c r="C28" s="12"/>
      <c r="F28" s="19" t="s">
        <v>162</v>
      </c>
      <c r="G28" s="19"/>
      <c r="H28" s="50" t="s">
        <v>134</v>
      </c>
      <c r="I28" s="50" t="s">
        <v>134</v>
      </c>
      <c r="J28" s="50" t="s">
        <v>134</v>
      </c>
      <c r="K28" s="50" t="s">
        <v>134</v>
      </c>
      <c r="L28" s="50" t="s">
        <v>134</v>
      </c>
      <c r="M28" s="50" t="s">
        <v>134</v>
      </c>
      <c r="N28" s="50" t="s">
        <v>134</v>
      </c>
      <c r="O28" s="55" t="s">
        <v>134</v>
      </c>
    </row>
    <row r="29" spans="1:15" ht="12">
      <c r="A29" s="12" t="s">
        <v>92</v>
      </c>
      <c r="B29" s="26">
        <v>0.85</v>
      </c>
      <c r="C29" s="12" t="s">
        <v>71</v>
      </c>
      <c r="F29" t="s">
        <v>106</v>
      </c>
      <c r="H29" s="51">
        <v>0.85</v>
      </c>
      <c r="I29" s="51">
        <v>0.8</v>
      </c>
      <c r="J29" s="51">
        <v>0.75</v>
      </c>
      <c r="K29" s="51">
        <v>0.7</v>
      </c>
      <c r="L29" s="51">
        <v>0.65</v>
      </c>
      <c r="M29" s="51">
        <v>0.6</v>
      </c>
      <c r="N29" s="51">
        <v>0.55</v>
      </c>
      <c r="O29" s="56">
        <v>0.5</v>
      </c>
    </row>
    <row r="30" spans="1:15" ht="12">
      <c r="A30" s="12"/>
      <c r="B30" s="23"/>
      <c r="C30" s="12"/>
      <c r="O30" s="58"/>
    </row>
    <row r="31" spans="1:15" ht="12">
      <c r="A31" s="12" t="s">
        <v>132</v>
      </c>
      <c r="B31" s="27">
        <v>6689</v>
      </c>
      <c r="C31" s="67" t="s">
        <v>6</v>
      </c>
      <c r="D31" s="68"/>
      <c r="E31" s="68"/>
      <c r="H31" s="27">
        <f aca="true" t="shared" si="0" ref="H31:O31">$B31*H29/$B29</f>
        <v>6689</v>
      </c>
      <c r="I31" s="27">
        <f t="shared" si="0"/>
        <v>6295.529411764707</v>
      </c>
      <c r="J31" s="27">
        <f t="shared" si="0"/>
        <v>5902.058823529412</v>
      </c>
      <c r="K31" s="27">
        <f t="shared" si="0"/>
        <v>5508.588235294117</v>
      </c>
      <c r="L31" s="27">
        <f t="shared" si="0"/>
        <v>5115.117647058824</v>
      </c>
      <c r="M31" s="27">
        <f t="shared" si="0"/>
        <v>4721.647058823529</v>
      </c>
      <c r="N31" s="27">
        <f t="shared" si="0"/>
        <v>4328.176470588236</v>
      </c>
      <c r="O31" s="59">
        <f t="shared" si="0"/>
        <v>3934.7058823529414</v>
      </c>
    </row>
    <row r="32" spans="1:15" ht="12">
      <c r="A32" s="12" t="s">
        <v>133</v>
      </c>
      <c r="B32" s="27">
        <v>17046</v>
      </c>
      <c r="C32" s="68"/>
      <c r="D32" s="68"/>
      <c r="E32" s="68"/>
      <c r="H32" s="27">
        <f aca="true" t="shared" si="1" ref="H32:O32">$B32*H29/$B29</f>
        <v>17046</v>
      </c>
      <c r="I32" s="27">
        <f t="shared" si="1"/>
        <v>16043.294117647061</v>
      </c>
      <c r="J32" s="27">
        <f t="shared" si="1"/>
        <v>15040.588235294119</v>
      </c>
      <c r="K32" s="27">
        <f t="shared" si="1"/>
        <v>14037.882352941175</v>
      </c>
      <c r="L32" s="27">
        <f t="shared" si="1"/>
        <v>13035.176470588236</v>
      </c>
      <c r="M32" s="27">
        <f t="shared" si="1"/>
        <v>12032.470588235296</v>
      </c>
      <c r="N32" s="27">
        <f t="shared" si="1"/>
        <v>11029.764705882355</v>
      </c>
      <c r="O32" s="59">
        <f t="shared" si="1"/>
        <v>10027.058823529413</v>
      </c>
    </row>
    <row r="33" spans="1:15" ht="12">
      <c r="A33" s="12"/>
      <c r="B33" s="21"/>
      <c r="C33" s="12"/>
      <c r="O33" s="58"/>
    </row>
    <row r="34" spans="1:15" ht="12">
      <c r="A34" s="54" t="s">
        <v>83</v>
      </c>
      <c r="B34" s="65">
        <f>B15/B5</f>
        <v>0.835214446952596</v>
      </c>
      <c r="F34" s="12" t="s">
        <v>163</v>
      </c>
      <c r="H34" s="52">
        <f>B34</f>
        <v>0.835214446952596</v>
      </c>
      <c r="I34" s="52">
        <f aca="true" t="shared" si="2" ref="I34:O34">0.6544*I29+0.2787</f>
        <v>0.8022199999999999</v>
      </c>
      <c r="J34" s="52">
        <f t="shared" si="2"/>
        <v>0.7695000000000001</v>
      </c>
      <c r="K34" s="52">
        <f t="shared" si="2"/>
        <v>0.73678</v>
      </c>
      <c r="L34" s="52">
        <f t="shared" si="2"/>
        <v>0.70406</v>
      </c>
      <c r="M34" s="52">
        <f t="shared" si="2"/>
        <v>0.67134</v>
      </c>
      <c r="N34" s="52">
        <f t="shared" si="2"/>
        <v>0.63862</v>
      </c>
      <c r="O34" s="66">
        <f t="shared" si="2"/>
        <v>0.6059</v>
      </c>
    </row>
    <row r="35" spans="1:15" ht="12">
      <c r="A35" s="12"/>
      <c r="C35" s="12"/>
      <c r="F35" s="12" t="s">
        <v>164</v>
      </c>
      <c r="G35" s="38" t="s">
        <v>104</v>
      </c>
      <c r="O35" s="58"/>
    </row>
    <row r="36" spans="1:15" ht="12">
      <c r="A36" s="12" t="s">
        <v>77</v>
      </c>
      <c r="B36" s="20">
        <f>B15</f>
        <v>1110</v>
      </c>
      <c r="C36" s="12"/>
      <c r="H36" s="24">
        <f aca="true" t="shared" si="3" ref="H36:O36">H34*$B5</f>
        <v>1110</v>
      </c>
      <c r="I36" s="24">
        <f t="shared" si="3"/>
        <v>1066.1503799999998</v>
      </c>
      <c r="J36" s="24">
        <f t="shared" si="3"/>
        <v>1022.6655000000001</v>
      </c>
      <c r="K36" s="24">
        <f t="shared" si="3"/>
        <v>979.18062</v>
      </c>
      <c r="L36" s="24">
        <f t="shared" si="3"/>
        <v>935.69574</v>
      </c>
      <c r="M36" s="24">
        <f t="shared" si="3"/>
        <v>892.21086</v>
      </c>
      <c r="N36" s="24">
        <f t="shared" si="3"/>
        <v>848.7259799999999</v>
      </c>
      <c r="O36" s="60">
        <f t="shared" si="3"/>
        <v>805.2411</v>
      </c>
    </row>
    <row r="37" spans="1:15" ht="12">
      <c r="A37" s="12" t="s">
        <v>135</v>
      </c>
      <c r="B37" s="20">
        <f>B36*B26</f>
        <v>415.22222222222223</v>
      </c>
      <c r="C37" s="12"/>
      <c r="G37" s="48" t="s">
        <v>165</v>
      </c>
      <c r="H37" s="24">
        <f aca="true" t="shared" si="4" ref="H37:O37">$B37</f>
        <v>415.22222222222223</v>
      </c>
      <c r="I37" s="24">
        <f t="shared" si="4"/>
        <v>415.22222222222223</v>
      </c>
      <c r="J37" s="24">
        <f t="shared" si="4"/>
        <v>415.22222222222223</v>
      </c>
      <c r="K37" s="24">
        <f t="shared" si="4"/>
        <v>415.22222222222223</v>
      </c>
      <c r="L37" s="24">
        <f t="shared" si="4"/>
        <v>415.22222222222223</v>
      </c>
      <c r="M37" s="24">
        <f t="shared" si="4"/>
        <v>415.22222222222223</v>
      </c>
      <c r="N37" s="24">
        <f t="shared" si="4"/>
        <v>415.22222222222223</v>
      </c>
      <c r="O37" s="60">
        <f t="shared" si="4"/>
        <v>415.22222222222223</v>
      </c>
    </row>
    <row r="38" spans="1:15" ht="12">
      <c r="A38" s="12" t="s">
        <v>136</v>
      </c>
      <c r="B38" s="20">
        <f>B36*B27</f>
        <v>694.7777777777777</v>
      </c>
      <c r="C38" s="12"/>
      <c r="G38" s="48" t="s">
        <v>107</v>
      </c>
      <c r="H38" s="24">
        <f aca="true" t="shared" si="5" ref="H38:O38">H36-H37</f>
        <v>694.7777777777778</v>
      </c>
      <c r="I38" s="24">
        <f t="shared" si="5"/>
        <v>650.9281577777776</v>
      </c>
      <c r="J38" s="24">
        <f t="shared" si="5"/>
        <v>607.4432777777779</v>
      </c>
      <c r="K38" s="24">
        <f t="shared" si="5"/>
        <v>563.9583977777777</v>
      </c>
      <c r="L38" s="24">
        <f t="shared" si="5"/>
        <v>520.4735177777777</v>
      </c>
      <c r="M38" s="24">
        <f t="shared" si="5"/>
        <v>476.9886377777778</v>
      </c>
      <c r="N38" s="24">
        <f t="shared" si="5"/>
        <v>433.5037577777777</v>
      </c>
      <c r="O38" s="60">
        <f t="shared" si="5"/>
        <v>390.01887777777773</v>
      </c>
    </row>
    <row r="39" spans="3:15" ht="12">
      <c r="C39" s="12"/>
      <c r="O39" s="58"/>
    </row>
    <row r="40" spans="1:15" ht="12">
      <c r="A40" t="s">
        <v>89</v>
      </c>
      <c r="C40" s="12"/>
      <c r="O40" s="58"/>
    </row>
    <row r="41" spans="1:15" ht="12">
      <c r="A41" t="s">
        <v>91</v>
      </c>
      <c r="B41" s="27">
        <f>B37*B31</f>
        <v>2777421.4444444445</v>
      </c>
      <c r="C41" s="12"/>
      <c r="H41" s="27">
        <f aca="true" t="shared" si="6" ref="H41:O42">H37*H31</f>
        <v>2777421.4444444445</v>
      </c>
      <c r="I41" s="27">
        <f t="shared" si="6"/>
        <v>2614043.712418301</v>
      </c>
      <c r="J41" s="27">
        <f t="shared" si="6"/>
        <v>2450665.980392157</v>
      </c>
      <c r="K41" s="27">
        <f t="shared" si="6"/>
        <v>2287288.2483660127</v>
      </c>
      <c r="L41" s="27">
        <f t="shared" si="6"/>
        <v>2123910.5163398697</v>
      </c>
      <c r="M41" s="27">
        <f t="shared" si="6"/>
        <v>1960532.7843137253</v>
      </c>
      <c r="N41" s="27">
        <f t="shared" si="6"/>
        <v>1797155.052287582</v>
      </c>
      <c r="O41" s="59">
        <f t="shared" si="6"/>
        <v>1633777.3202614381</v>
      </c>
    </row>
    <row r="42" spans="1:15" ht="12">
      <c r="A42" t="s">
        <v>90</v>
      </c>
      <c r="B42" s="30">
        <f>B38*B32</f>
        <v>11843181.999999998</v>
      </c>
      <c r="H42" s="30">
        <f t="shared" si="6"/>
        <v>11843182</v>
      </c>
      <c r="I42" s="30">
        <f t="shared" si="6"/>
        <v>10443031.884687059</v>
      </c>
      <c r="J42" s="30">
        <f t="shared" si="6"/>
        <v>9136304.217352943</v>
      </c>
      <c r="K42" s="30">
        <f t="shared" si="6"/>
        <v>7916781.639957645</v>
      </c>
      <c r="L42" s="30">
        <f t="shared" si="6"/>
        <v>6784464.152501176</v>
      </c>
      <c r="M42" s="30">
        <f t="shared" si="6"/>
        <v>5739351.75498353</v>
      </c>
      <c r="N42" s="30">
        <f t="shared" si="6"/>
        <v>4781444.447404706</v>
      </c>
      <c r="O42" s="61">
        <f t="shared" si="6"/>
        <v>3910742.2297647055</v>
      </c>
    </row>
    <row r="43" spans="1:15" ht="12">
      <c r="A43" t="s">
        <v>78</v>
      </c>
      <c r="B43" s="27">
        <f>B41+B42</f>
        <v>14620603.444444442</v>
      </c>
      <c r="H43" s="27">
        <f aca="true" t="shared" si="7" ref="H43:O43">H41+H42</f>
        <v>14620603.444444444</v>
      </c>
      <c r="I43" s="27">
        <f t="shared" si="7"/>
        <v>13057075.59710536</v>
      </c>
      <c r="J43" s="27">
        <f t="shared" si="7"/>
        <v>11586970.1977451</v>
      </c>
      <c r="K43" s="27">
        <f t="shared" si="7"/>
        <v>10204069.888323657</v>
      </c>
      <c r="L43" s="27">
        <f t="shared" si="7"/>
        <v>8908374.668841045</v>
      </c>
      <c r="M43" s="27">
        <f t="shared" si="7"/>
        <v>7699884.539297256</v>
      </c>
      <c r="N43" s="27">
        <f t="shared" si="7"/>
        <v>6578599.499692288</v>
      </c>
      <c r="O43" s="59">
        <f t="shared" si="7"/>
        <v>5544519.550026144</v>
      </c>
    </row>
    <row r="44" spans="2:15" ht="12">
      <c r="B44" s="27"/>
      <c r="H44" s="27"/>
      <c r="I44" s="27"/>
      <c r="J44" s="27"/>
      <c r="K44" s="27"/>
      <c r="L44" s="27"/>
      <c r="M44" s="27"/>
      <c r="N44" s="27"/>
      <c r="O44" s="59"/>
    </row>
    <row r="45" spans="2:15" ht="12">
      <c r="B45" s="27" t="s">
        <v>19</v>
      </c>
      <c r="H45" s="27">
        <f aca="true" t="shared" si="8" ref="H45:O45">$B43-H43</f>
        <v>0</v>
      </c>
      <c r="I45" s="27">
        <f t="shared" si="8"/>
        <v>1563527.8473390825</v>
      </c>
      <c r="J45" s="27">
        <f t="shared" si="8"/>
        <v>3033633.2466993425</v>
      </c>
      <c r="K45" s="27">
        <f t="shared" si="8"/>
        <v>4416533.556120785</v>
      </c>
      <c r="L45" s="27">
        <f t="shared" si="8"/>
        <v>5712228.775603397</v>
      </c>
      <c r="M45" s="27">
        <f t="shared" si="8"/>
        <v>6920718.9051471865</v>
      </c>
      <c r="N45" s="27">
        <f t="shared" si="8"/>
        <v>8042003.944752154</v>
      </c>
      <c r="O45" s="59">
        <f t="shared" si="8"/>
        <v>9076083.8944183</v>
      </c>
    </row>
    <row r="46" ht="12">
      <c r="O46" s="58"/>
    </row>
    <row r="47" spans="2:15" ht="12">
      <c r="B47" s="12" t="s">
        <v>40</v>
      </c>
      <c r="O47" s="58"/>
    </row>
    <row r="48" spans="2:15" ht="12">
      <c r="B48" s="12" t="s">
        <v>7</v>
      </c>
      <c r="H48" s="28">
        <f aca="true" t="shared" si="9" ref="H48:O49">$B31-H31</f>
        <v>0</v>
      </c>
      <c r="I48" s="28">
        <f t="shared" si="9"/>
        <v>393.4705882352928</v>
      </c>
      <c r="J48" s="28">
        <f t="shared" si="9"/>
        <v>786.9411764705883</v>
      </c>
      <c r="K48" s="28">
        <f t="shared" si="9"/>
        <v>1180.411764705883</v>
      </c>
      <c r="L48" s="28">
        <f t="shared" si="9"/>
        <v>1573.8823529411757</v>
      </c>
      <c r="M48" s="28">
        <f t="shared" si="9"/>
        <v>1967.3529411764712</v>
      </c>
      <c r="N48" s="28">
        <f t="shared" si="9"/>
        <v>2360.823529411764</v>
      </c>
      <c r="O48" s="53">
        <f t="shared" si="9"/>
        <v>2754.2941176470586</v>
      </c>
    </row>
    <row r="49" spans="2:15" ht="12">
      <c r="B49" s="12" t="s">
        <v>8</v>
      </c>
      <c r="H49" s="28">
        <f t="shared" si="9"/>
        <v>0</v>
      </c>
      <c r="I49" s="28">
        <f t="shared" si="9"/>
        <v>1002.7058823529387</v>
      </c>
      <c r="J49" s="28">
        <f t="shared" si="9"/>
        <v>2005.411764705881</v>
      </c>
      <c r="K49" s="28">
        <f t="shared" si="9"/>
        <v>3008.1176470588252</v>
      </c>
      <c r="L49" s="28">
        <f t="shared" si="9"/>
        <v>4010.823529411764</v>
      </c>
      <c r="M49" s="28">
        <f t="shared" si="9"/>
        <v>5013.5294117647045</v>
      </c>
      <c r="N49" s="28">
        <f t="shared" si="9"/>
        <v>6016.235294117645</v>
      </c>
      <c r="O49" s="53">
        <f t="shared" si="9"/>
        <v>7018.941176470587</v>
      </c>
    </row>
    <row r="50" ht="12">
      <c r="O50" s="58"/>
    </row>
    <row r="51" spans="1:15" ht="12">
      <c r="A51" s="12" t="s">
        <v>39</v>
      </c>
      <c r="B51" s="40">
        <v>0</v>
      </c>
      <c r="C51" t="s">
        <v>53</v>
      </c>
      <c r="H51" s="26">
        <f aca="true" t="shared" si="10" ref="H51:O51">$B51</f>
        <v>0</v>
      </c>
      <c r="I51" s="26">
        <f t="shared" si="10"/>
        <v>0</v>
      </c>
      <c r="J51" s="26">
        <f t="shared" si="10"/>
        <v>0</v>
      </c>
      <c r="K51" s="26">
        <f t="shared" si="10"/>
        <v>0</v>
      </c>
      <c r="L51" s="26">
        <f t="shared" si="10"/>
        <v>0</v>
      </c>
      <c r="M51" s="26">
        <f t="shared" si="10"/>
        <v>0</v>
      </c>
      <c r="N51" s="26">
        <f t="shared" si="10"/>
        <v>0</v>
      </c>
      <c r="O51" s="51">
        <f t="shared" si="10"/>
        <v>0</v>
      </c>
    </row>
    <row r="52" ht="12">
      <c r="O52" s="58"/>
    </row>
    <row r="53" spans="2:15" ht="12">
      <c r="B53" s="12" t="s">
        <v>49</v>
      </c>
      <c r="O53" s="58"/>
    </row>
    <row r="54" spans="2:15" ht="12">
      <c r="B54" s="12" t="s">
        <v>7</v>
      </c>
      <c r="H54" s="28">
        <f aca="true" t="shared" si="11" ref="H54:O54">H48/(1-H51)</f>
        <v>0</v>
      </c>
      <c r="I54" s="28">
        <f t="shared" si="11"/>
        <v>393.4705882352928</v>
      </c>
      <c r="J54" s="28">
        <f t="shared" si="11"/>
        <v>786.9411764705883</v>
      </c>
      <c r="K54" s="28">
        <f t="shared" si="11"/>
        <v>1180.411764705883</v>
      </c>
      <c r="L54" s="28">
        <f t="shared" si="11"/>
        <v>1573.8823529411757</v>
      </c>
      <c r="M54" s="28">
        <f t="shared" si="11"/>
        <v>1967.3529411764712</v>
      </c>
      <c r="N54" s="28">
        <f t="shared" si="11"/>
        <v>2360.823529411764</v>
      </c>
      <c r="O54" s="53">
        <f t="shared" si="11"/>
        <v>2754.2941176470586</v>
      </c>
    </row>
    <row r="55" spans="2:15" ht="12">
      <c r="B55" s="12" t="s">
        <v>8</v>
      </c>
      <c r="H55" s="28">
        <f aca="true" t="shared" si="12" ref="H55:O55">H49/(1-H51)</f>
        <v>0</v>
      </c>
      <c r="I55" s="28">
        <f t="shared" si="12"/>
        <v>1002.7058823529387</v>
      </c>
      <c r="J55" s="28">
        <f t="shared" si="12"/>
        <v>2005.411764705881</v>
      </c>
      <c r="K55" s="28">
        <f t="shared" si="12"/>
        <v>3008.1176470588252</v>
      </c>
      <c r="L55" s="28">
        <f t="shared" si="12"/>
        <v>4010.823529411764</v>
      </c>
      <c r="M55" s="28">
        <f t="shared" si="12"/>
        <v>5013.5294117647045</v>
      </c>
      <c r="N55" s="28">
        <f t="shared" si="12"/>
        <v>6016.235294117645</v>
      </c>
      <c r="O55" s="53">
        <f t="shared" si="12"/>
        <v>7018.941176470587</v>
      </c>
    </row>
    <row r="56" ht="12">
      <c r="O56" s="58"/>
    </row>
    <row r="57" ht="12">
      <c r="O57" s="58"/>
    </row>
    <row r="58" spans="2:15" ht="12">
      <c r="B58" s="12" t="s">
        <v>18</v>
      </c>
      <c r="H58" s="28">
        <f aca="true" t="shared" si="13" ref="H58:O58">H55</f>
        <v>0</v>
      </c>
      <c r="I58" s="28">
        <f t="shared" si="13"/>
        <v>1002.7058823529387</v>
      </c>
      <c r="J58" s="28">
        <f t="shared" si="13"/>
        <v>2005.411764705881</v>
      </c>
      <c r="K58" s="28">
        <f t="shared" si="13"/>
        <v>3008.1176470588252</v>
      </c>
      <c r="L58" s="28">
        <f t="shared" si="13"/>
        <v>4010.823529411764</v>
      </c>
      <c r="M58" s="28">
        <f t="shared" si="13"/>
        <v>5013.5294117647045</v>
      </c>
      <c r="N58" s="28">
        <f t="shared" si="13"/>
        <v>6016.235294117645</v>
      </c>
      <c r="O58" s="49">
        <f t="shared" si="13"/>
        <v>7018.941176470587</v>
      </c>
    </row>
    <row r="59" spans="2:15" ht="12">
      <c r="B59" s="12" t="s">
        <v>42</v>
      </c>
      <c r="H59" s="27">
        <f aca="true" t="shared" si="14" ref="H59:O59">H58*$B10</f>
        <v>0</v>
      </c>
      <c r="I59" s="27">
        <f t="shared" si="14"/>
        <v>966608.470588233</v>
      </c>
      <c r="J59" s="27">
        <f t="shared" si="14"/>
        <v>1933216.9411764694</v>
      </c>
      <c r="K59" s="27">
        <f t="shared" si="14"/>
        <v>2899825.4117647074</v>
      </c>
      <c r="L59" s="27">
        <f t="shared" si="14"/>
        <v>3866433.8823529403</v>
      </c>
      <c r="M59" s="27">
        <f t="shared" si="14"/>
        <v>4833042.352941175</v>
      </c>
      <c r="N59" s="27">
        <f t="shared" si="14"/>
        <v>5799650.82352941</v>
      </c>
      <c r="O59" s="59">
        <f t="shared" si="14"/>
        <v>6766259.294117646</v>
      </c>
    </row>
    <row r="60" ht="12">
      <c r="O60" s="58"/>
    </row>
    <row r="61" spans="2:15" ht="12">
      <c r="B61" s="54" t="s">
        <v>172</v>
      </c>
      <c r="H61" s="49">
        <f aca="true" t="shared" si="15" ref="H61:O61">H45-H59</f>
        <v>0</v>
      </c>
      <c r="I61" s="49">
        <f t="shared" si="15"/>
        <v>596919.3767508495</v>
      </c>
      <c r="J61" s="49">
        <f t="shared" si="15"/>
        <v>1100416.305522873</v>
      </c>
      <c r="K61" s="49">
        <f t="shared" si="15"/>
        <v>1516708.1443560775</v>
      </c>
      <c r="L61" s="49">
        <f t="shared" si="15"/>
        <v>1845794.8932504565</v>
      </c>
      <c r="M61" s="49">
        <f t="shared" si="15"/>
        <v>2087676.5522060115</v>
      </c>
      <c r="N61" s="49">
        <f t="shared" si="15"/>
        <v>2242353.1212227438</v>
      </c>
      <c r="O61" s="49">
        <f t="shared" si="15"/>
        <v>2309824.600300653</v>
      </c>
    </row>
    <row r="62" ht="12">
      <c r="O62" s="58"/>
    </row>
    <row r="63" spans="1:15" ht="12">
      <c r="A63" s="54" t="s">
        <v>60</v>
      </c>
      <c r="B63" s="57">
        <v>60000</v>
      </c>
      <c r="C63" s="54" t="s">
        <v>16</v>
      </c>
      <c r="H63" s="27">
        <f aca="true" t="shared" si="16" ref="H63:O63">$B63+H58</f>
        <v>60000</v>
      </c>
      <c r="I63" s="27">
        <f t="shared" si="16"/>
        <v>61002.70588235294</v>
      </c>
      <c r="J63" s="27">
        <f t="shared" si="16"/>
        <v>62005.41176470588</v>
      </c>
      <c r="K63" s="27">
        <f t="shared" si="16"/>
        <v>63008.117647058825</v>
      </c>
      <c r="L63" s="27">
        <f t="shared" si="16"/>
        <v>64010.82352941176</v>
      </c>
      <c r="M63" s="27">
        <f t="shared" si="16"/>
        <v>65013.529411764706</v>
      </c>
      <c r="N63" s="27">
        <f t="shared" si="16"/>
        <v>66016.23529411765</v>
      </c>
      <c r="O63" s="59">
        <f t="shared" si="16"/>
        <v>67018.94117647059</v>
      </c>
    </row>
    <row r="64" spans="8:15" ht="12">
      <c r="H64" s="27"/>
      <c r="I64" s="27"/>
      <c r="J64" s="27"/>
      <c r="K64" s="27"/>
      <c r="L64" s="27"/>
      <c r="M64" s="27"/>
      <c r="N64" s="27"/>
      <c r="O64" s="59"/>
    </row>
    <row r="65" spans="1:15" ht="12">
      <c r="A65" s="54" t="s">
        <v>22</v>
      </c>
      <c r="H65" s="27"/>
      <c r="I65" s="27"/>
      <c r="J65" s="27"/>
      <c r="K65" s="27"/>
      <c r="L65" s="27"/>
      <c r="M65" s="27"/>
      <c r="N65" s="27"/>
      <c r="O65" s="59"/>
    </row>
    <row r="66" spans="1:15" ht="12">
      <c r="A66" t="s">
        <v>20</v>
      </c>
      <c r="B66" s="27">
        <f>B63</f>
        <v>60000</v>
      </c>
      <c r="H66" s="27">
        <f aca="true" t="shared" si="17" ref="H66:O66">H63</f>
        <v>60000</v>
      </c>
      <c r="I66" s="27">
        <f t="shared" si="17"/>
        <v>61002.70588235294</v>
      </c>
      <c r="J66" s="27">
        <f t="shared" si="17"/>
        <v>62005.41176470588</v>
      </c>
      <c r="K66" s="27">
        <f t="shared" si="17"/>
        <v>63008.117647058825</v>
      </c>
      <c r="L66" s="27">
        <f t="shared" si="17"/>
        <v>64010.82352941176</v>
      </c>
      <c r="M66" s="27">
        <f t="shared" si="17"/>
        <v>65013.529411764706</v>
      </c>
      <c r="N66" s="27">
        <f t="shared" si="17"/>
        <v>66016.23529411765</v>
      </c>
      <c r="O66" s="59">
        <f t="shared" si="17"/>
        <v>67018.94117647059</v>
      </c>
    </row>
    <row r="67" spans="1:15" ht="12">
      <c r="A67" t="s">
        <v>17</v>
      </c>
      <c r="B67" s="27">
        <f>B66*B51</f>
        <v>0</v>
      </c>
      <c r="H67" s="27">
        <f aca="true" t="shared" si="18" ref="H67:O67">H66*H51</f>
        <v>0</v>
      </c>
      <c r="I67" s="27">
        <f t="shared" si="18"/>
        <v>0</v>
      </c>
      <c r="J67" s="27">
        <f t="shared" si="18"/>
        <v>0</v>
      </c>
      <c r="K67" s="27">
        <f t="shared" si="18"/>
        <v>0</v>
      </c>
      <c r="L67" s="27">
        <f t="shared" si="18"/>
        <v>0</v>
      </c>
      <c r="M67" s="27">
        <f t="shared" si="18"/>
        <v>0</v>
      </c>
      <c r="N67" s="27">
        <f t="shared" si="18"/>
        <v>0</v>
      </c>
      <c r="O67" s="59">
        <f t="shared" si="18"/>
        <v>0</v>
      </c>
    </row>
    <row r="68" spans="1:15" ht="12">
      <c r="A68" t="s">
        <v>21</v>
      </c>
      <c r="B68" s="30">
        <f>B31*(1-B29)/B29</f>
        <v>1180.4117647058824</v>
      </c>
      <c r="H68" s="30">
        <f aca="true" t="shared" si="19" ref="H68:O68">$B68+H48</f>
        <v>1180.4117647058824</v>
      </c>
      <c r="I68" s="30">
        <f t="shared" si="19"/>
        <v>1573.8823529411752</v>
      </c>
      <c r="J68" s="30">
        <f t="shared" si="19"/>
        <v>1967.3529411764707</v>
      </c>
      <c r="K68" s="30">
        <f t="shared" si="19"/>
        <v>2360.8235294117653</v>
      </c>
      <c r="L68" s="30">
        <f t="shared" si="19"/>
        <v>2754.294117647058</v>
      </c>
      <c r="M68" s="30">
        <f t="shared" si="19"/>
        <v>3147.7647058823536</v>
      </c>
      <c r="N68" s="30">
        <f t="shared" si="19"/>
        <v>3541.2352941176464</v>
      </c>
      <c r="O68" s="61">
        <f t="shared" si="19"/>
        <v>3934.705882352941</v>
      </c>
    </row>
    <row r="69" spans="1:15" ht="12">
      <c r="A69" t="s">
        <v>47</v>
      </c>
      <c r="B69" s="27">
        <f>B66-B67-B68</f>
        <v>58819.58823529412</v>
      </c>
      <c r="H69" s="27">
        <f aca="true" t="shared" si="20" ref="H69:O69">H66-H67-H68</f>
        <v>58819.58823529412</v>
      </c>
      <c r="I69" s="27">
        <f t="shared" si="20"/>
        <v>59428.82352941176</v>
      </c>
      <c r="J69" s="27">
        <f t="shared" si="20"/>
        <v>60038.05882352941</v>
      </c>
      <c r="K69" s="27">
        <f t="shared" si="20"/>
        <v>60647.29411764706</v>
      </c>
      <c r="L69" s="27">
        <f t="shared" si="20"/>
        <v>61256.529411764706</v>
      </c>
      <c r="M69" s="27">
        <f t="shared" si="20"/>
        <v>61865.76470588235</v>
      </c>
      <c r="N69" s="27">
        <f t="shared" si="20"/>
        <v>62475.00000000001</v>
      </c>
      <c r="O69" s="59">
        <f t="shared" si="20"/>
        <v>63084.23529411764</v>
      </c>
    </row>
    <row r="70" spans="1:15" ht="12">
      <c r="A70" s="54" t="s">
        <v>52</v>
      </c>
      <c r="B70" s="63"/>
      <c r="H70" s="53">
        <f aca="true" t="shared" si="21" ref="H70:O70">H69-$B69</f>
        <v>0</v>
      </c>
      <c r="I70" s="53">
        <f t="shared" si="21"/>
        <v>609.2352941176432</v>
      </c>
      <c r="J70" s="53">
        <f t="shared" si="21"/>
        <v>1218.4705882352937</v>
      </c>
      <c r="K70" s="53">
        <f t="shared" si="21"/>
        <v>1827.7058823529442</v>
      </c>
      <c r="L70" s="53">
        <f t="shared" si="21"/>
        <v>2436.9411764705874</v>
      </c>
      <c r="M70" s="53">
        <f t="shared" si="21"/>
        <v>3046.1764705882306</v>
      </c>
      <c r="N70" s="53">
        <f t="shared" si="21"/>
        <v>3655.4117647058883</v>
      </c>
      <c r="O70" s="49">
        <f t="shared" si="21"/>
        <v>4264.647058823524</v>
      </c>
    </row>
    <row r="71" spans="1:15" ht="12">
      <c r="A71" t="s">
        <v>108</v>
      </c>
      <c r="B71" s="27"/>
      <c r="E71" s="32"/>
      <c r="H71" s="24">
        <f aca="true" t="shared" si="22" ref="H71:O71">H37*$B10/$B15</f>
        <v>360.60740740740744</v>
      </c>
      <c r="I71" s="24">
        <f t="shared" si="22"/>
        <v>360.60740740740744</v>
      </c>
      <c r="J71" s="24">
        <f t="shared" si="22"/>
        <v>360.60740740740744</v>
      </c>
      <c r="K71" s="24">
        <f t="shared" si="22"/>
        <v>360.60740740740744</v>
      </c>
      <c r="L71" s="24">
        <f t="shared" si="22"/>
        <v>360.60740740740744</v>
      </c>
      <c r="M71" s="24">
        <f t="shared" si="22"/>
        <v>360.60740740740744</v>
      </c>
      <c r="N71" s="24">
        <f t="shared" si="22"/>
        <v>360.60740740740744</v>
      </c>
      <c r="O71" s="60">
        <f t="shared" si="22"/>
        <v>360.60740740740744</v>
      </c>
    </row>
    <row r="72" spans="1:15" ht="12">
      <c r="A72" t="s">
        <v>160</v>
      </c>
      <c r="B72" s="27"/>
      <c r="F72" s="32"/>
      <c r="H72" s="26">
        <f aca="true" t="shared" si="23" ref="H72:O72">H71/(H71+H80+H90)</f>
        <v>0.3740740740740741</v>
      </c>
      <c r="I72" s="26">
        <f t="shared" si="23"/>
        <v>0.3740740740740741</v>
      </c>
      <c r="J72" s="26">
        <f t="shared" si="23"/>
        <v>0.3740740740740741</v>
      </c>
      <c r="K72" s="26">
        <f t="shared" si="23"/>
        <v>0.3740740740740741</v>
      </c>
      <c r="L72" s="26">
        <f t="shared" si="23"/>
        <v>0.3740740740740741</v>
      </c>
      <c r="M72" s="26">
        <f t="shared" si="23"/>
        <v>0.3740740740740741</v>
      </c>
      <c r="N72" s="26">
        <f t="shared" si="23"/>
        <v>0.3740740740740741</v>
      </c>
      <c r="O72" s="51">
        <f t="shared" si="23"/>
        <v>0.3740740740740741</v>
      </c>
    </row>
    <row r="73" spans="2:15" ht="12">
      <c r="B73" s="27"/>
      <c r="F73" s="32"/>
      <c r="H73" s="39"/>
      <c r="I73" s="39"/>
      <c r="J73" s="39"/>
      <c r="K73" s="39"/>
      <c r="L73" s="39"/>
      <c r="M73" s="39"/>
      <c r="N73" s="39"/>
      <c r="O73" s="53"/>
    </row>
    <row r="74" spans="1:15" ht="12">
      <c r="A74" s="54" t="s">
        <v>50</v>
      </c>
      <c r="B74" s="27"/>
      <c r="H74" s="27"/>
      <c r="I74" s="27"/>
      <c r="J74" s="27"/>
      <c r="K74" s="27"/>
      <c r="L74" s="27"/>
      <c r="M74" s="27"/>
      <c r="N74" s="27"/>
      <c r="O74" s="59"/>
    </row>
    <row r="75" spans="1:15" ht="12">
      <c r="A75" t="s">
        <v>20</v>
      </c>
      <c r="B75" s="27">
        <f>B63</f>
        <v>60000</v>
      </c>
      <c r="H75" s="27">
        <f aca="true" t="shared" si="24" ref="H75:O75">H63</f>
        <v>60000</v>
      </c>
      <c r="I75" s="27">
        <f t="shared" si="24"/>
        <v>61002.70588235294</v>
      </c>
      <c r="J75" s="27">
        <f t="shared" si="24"/>
        <v>62005.41176470588</v>
      </c>
      <c r="K75" s="27">
        <f t="shared" si="24"/>
        <v>63008.117647058825</v>
      </c>
      <c r="L75" s="27">
        <f t="shared" si="24"/>
        <v>64010.82352941176</v>
      </c>
      <c r="M75" s="27">
        <f t="shared" si="24"/>
        <v>65013.529411764706</v>
      </c>
      <c r="N75" s="27">
        <f t="shared" si="24"/>
        <v>66016.23529411765</v>
      </c>
      <c r="O75" s="59">
        <f t="shared" si="24"/>
        <v>67018.94117647059</v>
      </c>
    </row>
    <row r="76" spans="1:15" ht="12">
      <c r="A76" t="s">
        <v>17</v>
      </c>
      <c r="B76" s="27">
        <f>B75*B51</f>
        <v>0</v>
      </c>
      <c r="H76" s="27">
        <f aca="true" t="shared" si="25" ref="H76:O76">H75*H51</f>
        <v>0</v>
      </c>
      <c r="I76" s="27">
        <f t="shared" si="25"/>
        <v>0</v>
      </c>
      <c r="J76" s="27">
        <f t="shared" si="25"/>
        <v>0</v>
      </c>
      <c r="K76" s="27">
        <f t="shared" si="25"/>
        <v>0</v>
      </c>
      <c r="L76" s="27">
        <f t="shared" si="25"/>
        <v>0</v>
      </c>
      <c r="M76" s="27">
        <f t="shared" si="25"/>
        <v>0</v>
      </c>
      <c r="N76" s="27">
        <f t="shared" si="25"/>
        <v>0</v>
      </c>
      <c r="O76" s="59">
        <f t="shared" si="25"/>
        <v>0</v>
      </c>
    </row>
    <row r="77" spans="1:15" ht="12">
      <c r="A77" t="s">
        <v>21</v>
      </c>
      <c r="B77" s="30">
        <f>B32*(1-B29)/B29</f>
        <v>3008.1176470588243</v>
      </c>
      <c r="H77" s="30">
        <f aca="true" t="shared" si="26" ref="H77:O77">$B77+H49</f>
        <v>3008.1176470588243</v>
      </c>
      <c r="I77" s="30">
        <f t="shared" si="26"/>
        <v>4010.823529411763</v>
      </c>
      <c r="J77" s="30">
        <f t="shared" si="26"/>
        <v>5013.529411764705</v>
      </c>
      <c r="K77" s="30">
        <f t="shared" si="26"/>
        <v>6016.23529411765</v>
      </c>
      <c r="L77" s="30">
        <f t="shared" si="26"/>
        <v>7018.941176470588</v>
      </c>
      <c r="M77" s="30">
        <f t="shared" si="26"/>
        <v>8021.647058823529</v>
      </c>
      <c r="N77" s="30">
        <f t="shared" si="26"/>
        <v>9024.352941176468</v>
      </c>
      <c r="O77" s="61">
        <f t="shared" si="26"/>
        <v>10027.058823529413</v>
      </c>
    </row>
    <row r="78" spans="1:15" ht="12">
      <c r="A78" t="s">
        <v>3</v>
      </c>
      <c r="B78" s="27">
        <f>B75-B76-B77</f>
        <v>56991.882352941175</v>
      </c>
      <c r="H78" s="31">
        <f aca="true" t="shared" si="27" ref="H78:O78">H75-H76-H77</f>
        <v>56991.882352941175</v>
      </c>
      <c r="I78" s="31">
        <f t="shared" si="27"/>
        <v>56991.882352941175</v>
      </c>
      <c r="J78" s="31">
        <f t="shared" si="27"/>
        <v>56991.882352941175</v>
      </c>
      <c r="K78" s="31">
        <f t="shared" si="27"/>
        <v>56991.882352941175</v>
      </c>
      <c r="L78" s="31">
        <f t="shared" si="27"/>
        <v>56991.882352941175</v>
      </c>
      <c r="M78" s="31">
        <f t="shared" si="27"/>
        <v>56991.882352941175</v>
      </c>
      <c r="N78" s="31">
        <f t="shared" si="27"/>
        <v>56991.88235294118</v>
      </c>
      <c r="O78" s="62">
        <f t="shared" si="27"/>
        <v>56991.882352941175</v>
      </c>
    </row>
    <row r="79" spans="1:15" ht="12">
      <c r="A79" s="54" t="s">
        <v>52</v>
      </c>
      <c r="B79" s="27"/>
      <c r="F79" s="41"/>
      <c r="G79" s="32"/>
      <c r="H79" s="53">
        <f aca="true" t="shared" si="28" ref="H79:O79">H78-$B78</f>
        <v>0</v>
      </c>
      <c r="I79" s="53">
        <f t="shared" si="28"/>
        <v>0</v>
      </c>
      <c r="J79" s="53">
        <f t="shared" si="28"/>
        <v>0</v>
      </c>
      <c r="K79" s="53">
        <f t="shared" si="28"/>
        <v>0</v>
      </c>
      <c r="L79" s="53">
        <f t="shared" si="28"/>
        <v>0</v>
      </c>
      <c r="M79" s="53">
        <f t="shared" si="28"/>
        <v>0</v>
      </c>
      <c r="N79" s="53">
        <f t="shared" si="28"/>
        <v>0</v>
      </c>
      <c r="O79" s="49">
        <f t="shared" si="28"/>
        <v>0</v>
      </c>
    </row>
    <row r="80" spans="1:15" ht="12">
      <c r="A80" t="s">
        <v>108</v>
      </c>
      <c r="B80" s="27"/>
      <c r="F80" s="47"/>
      <c r="G80" s="32"/>
      <c r="H80" s="24">
        <f aca="true" t="shared" si="29" ref="H80:O80">H38*$B10/$B15</f>
        <v>603.3925925925927</v>
      </c>
      <c r="I80" s="24">
        <f t="shared" si="29"/>
        <v>565.3105802682682</v>
      </c>
      <c r="J80" s="24">
        <f t="shared" si="29"/>
        <v>527.5453331331332</v>
      </c>
      <c r="K80" s="24">
        <f t="shared" si="29"/>
        <v>489.7800859979979</v>
      </c>
      <c r="L80" s="24">
        <f t="shared" si="29"/>
        <v>452.0148388628628</v>
      </c>
      <c r="M80" s="24">
        <f t="shared" si="29"/>
        <v>414.24959172772776</v>
      </c>
      <c r="N80" s="24">
        <f t="shared" si="29"/>
        <v>376.4843445925925</v>
      </c>
      <c r="O80" s="60">
        <f t="shared" si="29"/>
        <v>338.71909745745745</v>
      </c>
    </row>
    <row r="81" spans="1:15" ht="12">
      <c r="A81" t="s">
        <v>160</v>
      </c>
      <c r="B81" s="27"/>
      <c r="F81" s="45"/>
      <c r="G81" s="32"/>
      <c r="H81" s="26">
        <f aca="true" t="shared" si="30" ref="H81:O81">H80/(H71+H80+H90)</f>
        <v>0.625925925925926</v>
      </c>
      <c r="I81" s="26">
        <f t="shared" si="30"/>
        <v>0.5864217637637636</v>
      </c>
      <c r="J81" s="26">
        <f t="shared" si="30"/>
        <v>0.5472461961961963</v>
      </c>
      <c r="K81" s="26">
        <f t="shared" si="30"/>
        <v>0.5080706286286285</v>
      </c>
      <c r="L81" s="26">
        <f t="shared" si="30"/>
        <v>0.468895061061061</v>
      </c>
      <c r="M81" s="26">
        <f t="shared" si="30"/>
        <v>0.42971949349349353</v>
      </c>
      <c r="N81" s="26">
        <f t="shared" si="30"/>
        <v>0.3905439259259258</v>
      </c>
      <c r="O81" s="51">
        <f t="shared" si="30"/>
        <v>0.35136835835835833</v>
      </c>
    </row>
    <row r="82" spans="2:15" ht="12">
      <c r="B82" s="27"/>
      <c r="F82" s="46"/>
      <c r="H82" s="27"/>
      <c r="I82" s="27"/>
      <c r="J82" s="27"/>
      <c r="K82" s="27"/>
      <c r="L82" s="27"/>
      <c r="M82" s="27"/>
      <c r="N82" s="27"/>
      <c r="O82" s="59"/>
    </row>
    <row r="83" spans="1:15" ht="12">
      <c r="A83" s="54" t="s">
        <v>51</v>
      </c>
      <c r="B83" s="27"/>
      <c r="F83" s="46"/>
      <c r="H83" s="27"/>
      <c r="I83" s="27"/>
      <c r="J83" s="27"/>
      <c r="K83" s="27"/>
      <c r="L83" s="27"/>
      <c r="M83" s="27"/>
      <c r="N83" s="27"/>
      <c r="O83" s="59"/>
    </row>
    <row r="84" spans="1:15" ht="12">
      <c r="A84" s="54" t="s">
        <v>161</v>
      </c>
      <c r="B84" s="64">
        <v>0.15</v>
      </c>
      <c r="C84" s="19" t="s">
        <v>48</v>
      </c>
      <c r="F84" s="46"/>
      <c r="H84" s="27"/>
      <c r="I84" s="27"/>
      <c r="J84" s="27"/>
      <c r="K84" s="27"/>
      <c r="L84" s="27"/>
      <c r="M84" s="27"/>
      <c r="N84" s="27"/>
      <c r="O84" s="59"/>
    </row>
    <row r="85" spans="1:15" ht="12">
      <c r="A85" t="s">
        <v>20</v>
      </c>
      <c r="B85" s="27">
        <f>B63</f>
        <v>60000</v>
      </c>
      <c r="F85" s="46"/>
      <c r="H85" s="27">
        <f aca="true" t="shared" si="31" ref="H85:O85">H63</f>
        <v>60000</v>
      </c>
      <c r="I85" s="27">
        <f t="shared" si="31"/>
        <v>61002.70588235294</v>
      </c>
      <c r="J85" s="27">
        <f t="shared" si="31"/>
        <v>62005.41176470588</v>
      </c>
      <c r="K85" s="27">
        <f t="shared" si="31"/>
        <v>63008.117647058825</v>
      </c>
      <c r="L85" s="27">
        <f t="shared" si="31"/>
        <v>64010.82352941176</v>
      </c>
      <c r="M85" s="27">
        <f t="shared" si="31"/>
        <v>65013.529411764706</v>
      </c>
      <c r="N85" s="27">
        <f t="shared" si="31"/>
        <v>66016.23529411765</v>
      </c>
      <c r="O85" s="59">
        <f t="shared" si="31"/>
        <v>67018.94117647059</v>
      </c>
    </row>
    <row r="86" spans="1:15" ht="12">
      <c r="A86" t="s">
        <v>17</v>
      </c>
      <c r="B86" s="27">
        <f>B85*B51</f>
        <v>0</v>
      </c>
      <c r="F86" s="46"/>
      <c r="H86" s="27">
        <f aca="true" t="shared" si="32" ref="H86:O86">H85*H51</f>
        <v>0</v>
      </c>
      <c r="I86" s="27">
        <f t="shared" si="32"/>
        <v>0</v>
      </c>
      <c r="J86" s="27">
        <f t="shared" si="32"/>
        <v>0</v>
      </c>
      <c r="K86" s="27">
        <f t="shared" si="32"/>
        <v>0</v>
      </c>
      <c r="L86" s="27">
        <f t="shared" si="32"/>
        <v>0</v>
      </c>
      <c r="M86" s="27">
        <f t="shared" si="32"/>
        <v>0</v>
      </c>
      <c r="N86" s="27">
        <f t="shared" si="32"/>
        <v>0</v>
      </c>
      <c r="O86" s="59">
        <f t="shared" si="32"/>
        <v>0</v>
      </c>
    </row>
    <row r="87" spans="1:16" ht="12">
      <c r="A87" t="s">
        <v>21</v>
      </c>
      <c r="B87" s="30">
        <f>B32*(1-B29)/B29</f>
        <v>3008.1176470588243</v>
      </c>
      <c r="F87" s="46"/>
      <c r="H87" s="30">
        <f aca="true" t="shared" si="33" ref="H87:O87">H32*(1-H29-$B84)/H29</f>
        <v>5.566135787576594E-13</v>
      </c>
      <c r="I87" s="30">
        <f t="shared" si="33"/>
        <v>1002.7058823529405</v>
      </c>
      <c r="J87" s="30">
        <f t="shared" si="33"/>
        <v>2005.4117647058827</v>
      </c>
      <c r="K87" s="30">
        <f t="shared" si="33"/>
        <v>3008.1176470588243</v>
      </c>
      <c r="L87" s="30">
        <f t="shared" si="33"/>
        <v>4010.8235294117644</v>
      </c>
      <c r="M87" s="30">
        <f t="shared" si="33"/>
        <v>5013.529411764706</v>
      </c>
      <c r="N87" s="30">
        <f t="shared" si="33"/>
        <v>6016.235294117647</v>
      </c>
      <c r="O87" s="61">
        <f t="shared" si="33"/>
        <v>7018.941176470588</v>
      </c>
      <c r="P87" s="19"/>
    </row>
    <row r="88" spans="1:15" ht="12">
      <c r="A88" t="s">
        <v>3</v>
      </c>
      <c r="B88" s="27">
        <f>B85-B86-B87</f>
        <v>56991.882352941175</v>
      </c>
      <c r="F88" s="46"/>
      <c r="H88" s="27">
        <f aca="true" t="shared" si="34" ref="H88:O88">H85-H86-H87</f>
        <v>60000</v>
      </c>
      <c r="I88" s="27">
        <f t="shared" si="34"/>
        <v>60000</v>
      </c>
      <c r="J88" s="27">
        <f t="shared" si="34"/>
        <v>60000</v>
      </c>
      <c r="K88" s="27">
        <f t="shared" si="34"/>
        <v>60000</v>
      </c>
      <c r="L88" s="27">
        <f t="shared" si="34"/>
        <v>60000</v>
      </c>
      <c r="M88" s="27">
        <f t="shared" si="34"/>
        <v>60000</v>
      </c>
      <c r="N88" s="27">
        <f t="shared" si="34"/>
        <v>60000</v>
      </c>
      <c r="O88" s="59">
        <f t="shared" si="34"/>
        <v>60000</v>
      </c>
    </row>
    <row r="89" spans="1:15" ht="12">
      <c r="A89" s="54" t="s">
        <v>52</v>
      </c>
      <c r="B89" s="27"/>
      <c r="F89" s="41"/>
      <c r="G89" s="32"/>
      <c r="H89" s="53">
        <f aca="true" t="shared" si="35" ref="H89:O89">H88-$B88</f>
        <v>3008.1176470588252</v>
      </c>
      <c r="I89" s="53">
        <f t="shared" si="35"/>
        <v>3008.1176470588252</v>
      </c>
      <c r="J89" s="53">
        <f t="shared" si="35"/>
        <v>3008.1176470588252</v>
      </c>
      <c r="K89" s="53">
        <f t="shared" si="35"/>
        <v>3008.1176470588252</v>
      </c>
      <c r="L89" s="53">
        <f t="shared" si="35"/>
        <v>3008.1176470588252</v>
      </c>
      <c r="M89" s="53">
        <f t="shared" si="35"/>
        <v>3008.1176470588252</v>
      </c>
      <c r="N89" s="53">
        <f t="shared" si="35"/>
        <v>3008.1176470588252</v>
      </c>
      <c r="O89" s="49">
        <f t="shared" si="35"/>
        <v>3008.1176470588252</v>
      </c>
    </row>
    <row r="90" spans="1:15" ht="12">
      <c r="A90" t="s">
        <v>108</v>
      </c>
      <c r="F90" s="47"/>
      <c r="H90" s="24">
        <f aca="true" t="shared" si="36" ref="H90:O90">($B38-H38)*$B10/$B15</f>
        <v>-9.873343384111518E-14</v>
      </c>
      <c r="I90" s="24">
        <f t="shared" si="36"/>
        <v>38.08201232432439</v>
      </c>
      <c r="J90" s="24">
        <f t="shared" si="36"/>
        <v>75.8472594594593</v>
      </c>
      <c r="K90" s="24">
        <f t="shared" si="36"/>
        <v>113.6125065945946</v>
      </c>
      <c r="L90" s="24">
        <f t="shared" si="36"/>
        <v>151.37775372972973</v>
      </c>
      <c r="M90" s="24">
        <f t="shared" si="36"/>
        <v>189.1430008648648</v>
      </c>
      <c r="N90" s="24">
        <f t="shared" si="36"/>
        <v>226.90824800000001</v>
      </c>
      <c r="O90" s="60">
        <f t="shared" si="36"/>
        <v>264.6734951351351</v>
      </c>
    </row>
    <row r="91" spans="1:15" ht="12">
      <c r="A91" t="s">
        <v>160</v>
      </c>
      <c r="F91" s="45"/>
      <c r="H91" s="26">
        <f aca="true" t="shared" si="37" ref="H91:O91">H90/(H71+H80+H90)</f>
        <v>-1.0242057452397841E-16</v>
      </c>
      <c r="I91" s="26">
        <f t="shared" si="37"/>
        <v>0.03950416216216223</v>
      </c>
      <c r="J91" s="26">
        <f t="shared" si="37"/>
        <v>0.07867972972972956</v>
      </c>
      <c r="K91" s="26">
        <f t="shared" si="37"/>
        <v>0.11785529729729731</v>
      </c>
      <c r="L91" s="26">
        <f t="shared" si="37"/>
        <v>0.15703086486486487</v>
      </c>
      <c r="M91" s="26">
        <f t="shared" si="37"/>
        <v>0.19620643243243238</v>
      </c>
      <c r="N91" s="26">
        <f t="shared" si="37"/>
        <v>0.235382</v>
      </c>
      <c r="O91" s="51">
        <f t="shared" si="37"/>
        <v>0.27455756756756755</v>
      </c>
    </row>
    <row r="92" ht="12">
      <c r="F92" s="44"/>
    </row>
    <row r="93" ht="12">
      <c r="F93" s="44"/>
    </row>
    <row r="94" ht="12">
      <c r="F94" s="44"/>
    </row>
    <row r="95" ht="12">
      <c r="F95" s="44"/>
    </row>
    <row r="96" ht="12">
      <c r="F96" s="44"/>
    </row>
    <row r="97" ht="12">
      <c r="F97" s="44"/>
    </row>
    <row r="98" ht="12">
      <c r="F98" s="44"/>
    </row>
    <row r="99" ht="12">
      <c r="F99" s="44"/>
    </row>
  </sheetData>
  <sheetProtection/>
  <mergeCells count="5">
    <mergeCell ref="C31:E32"/>
    <mergeCell ref="C3:D4"/>
    <mergeCell ref="C13:D14"/>
    <mergeCell ref="C18:D21"/>
    <mergeCell ref="C8:D9"/>
  </mergeCells>
  <printOptions/>
  <pageMargins left="0" right="0" top="0" bottom="0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="150" zoomScaleNormal="15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7" sqref="AO7"/>
    </sheetView>
  </sheetViews>
  <sheetFormatPr defaultColWidth="9.140625" defaultRowHeight="12.75"/>
  <cols>
    <col min="1" max="1" width="9.140625" style="5" customWidth="1"/>
    <col min="2" max="2" width="32.7109375" style="5" customWidth="1"/>
    <col min="3" max="3" width="3.140625" style="5" customWidth="1"/>
    <col min="4" max="4" width="6.7109375" style="6" customWidth="1"/>
    <col min="5" max="5" width="4.421875" style="7" customWidth="1"/>
    <col min="6" max="6" width="9.8515625" style="8" customWidth="1"/>
    <col min="7" max="17" width="6.00390625" style="5" customWidth="1"/>
    <col min="18" max="18" width="3.140625" style="5" customWidth="1"/>
    <col min="19" max="29" width="6.00390625" style="5" customWidth="1"/>
    <col min="30" max="30" width="2.7109375" style="5" customWidth="1"/>
    <col min="31" max="37" width="6.00390625" style="5" customWidth="1"/>
    <col min="38" max="38" width="6.00390625" style="34" customWidth="1"/>
    <col min="39" max="41" width="6.00390625" style="5" customWidth="1"/>
    <col min="42" max="42" width="5.28125" style="5" customWidth="1"/>
    <col min="43" max="43" width="4.421875" style="5" customWidth="1"/>
    <col min="44" max="53" width="6.00390625" style="5" customWidth="1"/>
    <col min="54" max="16384" width="9.140625" style="5" customWidth="1"/>
  </cols>
  <sheetData>
    <row r="1" spans="1:6" ht="12">
      <c r="A1" s="14" t="s">
        <v>85</v>
      </c>
      <c r="B1" s="14"/>
      <c r="C1" s="1"/>
      <c r="D1" s="2"/>
      <c r="E1" s="3"/>
      <c r="F1" s="4"/>
    </row>
    <row r="2" spans="4:44" ht="12">
      <c r="D2" s="33" t="s">
        <v>55</v>
      </c>
      <c r="E2" s="16" t="s">
        <v>65</v>
      </c>
      <c r="G2" s="5" t="s">
        <v>125</v>
      </c>
      <c r="H2" s="5" t="s">
        <v>125</v>
      </c>
      <c r="I2" s="5" t="s">
        <v>125</v>
      </c>
      <c r="J2" s="5" t="s">
        <v>125</v>
      </c>
      <c r="K2" s="5" t="s">
        <v>125</v>
      </c>
      <c r="L2" s="5" t="s">
        <v>125</v>
      </c>
      <c r="M2" s="5" t="s">
        <v>125</v>
      </c>
      <c r="N2" s="5" t="s">
        <v>125</v>
      </c>
      <c r="O2" s="5" t="s">
        <v>125</v>
      </c>
      <c r="P2" s="5" t="s">
        <v>125</v>
      </c>
      <c r="Q2" s="5" t="s">
        <v>125</v>
      </c>
      <c r="S2" s="5" t="s">
        <v>124</v>
      </c>
      <c r="T2" s="5" t="s">
        <v>124</v>
      </c>
      <c r="U2" s="5" t="s">
        <v>124</v>
      </c>
      <c r="V2" s="5" t="s">
        <v>124</v>
      </c>
      <c r="W2" s="5" t="s">
        <v>124</v>
      </c>
      <c r="X2" s="5" t="s">
        <v>124</v>
      </c>
      <c r="Y2" s="5" t="s">
        <v>124</v>
      </c>
      <c r="Z2" s="5" t="s">
        <v>124</v>
      </c>
      <c r="AA2" s="5" t="s">
        <v>124</v>
      </c>
      <c r="AB2" s="5" t="s">
        <v>124</v>
      </c>
      <c r="AC2" s="5" t="s">
        <v>124</v>
      </c>
      <c r="AE2" s="5" t="s">
        <v>57</v>
      </c>
      <c r="AF2" s="5" t="s">
        <v>57</v>
      </c>
      <c r="AG2" s="5" t="s">
        <v>57</v>
      </c>
      <c r="AH2" s="5" t="s">
        <v>57</v>
      </c>
      <c r="AI2" s="5" t="s">
        <v>57</v>
      </c>
      <c r="AJ2" s="5" t="s">
        <v>57</v>
      </c>
      <c r="AK2" s="5" t="s">
        <v>57</v>
      </c>
      <c r="AL2" s="35" t="s">
        <v>57</v>
      </c>
      <c r="AM2" s="5" t="s">
        <v>57</v>
      </c>
      <c r="AN2" s="5" t="s">
        <v>57</v>
      </c>
      <c r="AO2" s="5" t="s">
        <v>57</v>
      </c>
      <c r="AR2" s="5" t="s">
        <v>69</v>
      </c>
    </row>
    <row r="3" spans="1:44" s="1" customFormat="1" ht="12">
      <c r="A3" s="1" t="s">
        <v>45</v>
      </c>
      <c r="B3" s="1" t="s">
        <v>166</v>
      </c>
      <c r="C3" s="1" t="s">
        <v>170</v>
      </c>
      <c r="D3" s="2" t="s">
        <v>54</v>
      </c>
      <c r="E3" s="17" t="s">
        <v>46</v>
      </c>
      <c r="F3" s="4"/>
      <c r="G3" s="1" t="s">
        <v>126</v>
      </c>
      <c r="H3" s="1" t="s">
        <v>129</v>
      </c>
      <c r="I3" s="1" t="s">
        <v>112</v>
      </c>
      <c r="J3" s="1" t="s">
        <v>127</v>
      </c>
      <c r="K3" s="1" t="s">
        <v>129</v>
      </c>
      <c r="L3" s="1" t="s">
        <v>112</v>
      </c>
      <c r="M3" s="1" t="s">
        <v>113</v>
      </c>
      <c r="N3" s="1" t="s">
        <v>128</v>
      </c>
      <c r="O3" s="1" t="s">
        <v>61</v>
      </c>
      <c r="P3" s="1" t="s">
        <v>100</v>
      </c>
      <c r="Q3" s="1" t="s">
        <v>114</v>
      </c>
      <c r="S3" s="1" t="s">
        <v>126</v>
      </c>
      <c r="T3" s="1" t="s">
        <v>129</v>
      </c>
      <c r="U3" s="1" t="s">
        <v>112</v>
      </c>
      <c r="V3" s="1" t="s">
        <v>127</v>
      </c>
      <c r="W3" s="1" t="s">
        <v>129</v>
      </c>
      <c r="X3" s="1" t="s">
        <v>112</v>
      </c>
      <c r="Y3" s="1" t="s">
        <v>113</v>
      </c>
      <c r="Z3" s="1" t="s">
        <v>128</v>
      </c>
      <c r="AA3" s="1" t="s">
        <v>61</v>
      </c>
      <c r="AB3" s="1" t="s">
        <v>100</v>
      </c>
      <c r="AC3" s="1" t="s">
        <v>114</v>
      </c>
      <c r="AE3" s="1" t="s">
        <v>126</v>
      </c>
      <c r="AF3" s="1" t="s">
        <v>129</v>
      </c>
      <c r="AG3" s="1" t="s">
        <v>112</v>
      </c>
      <c r="AH3" s="1" t="s">
        <v>127</v>
      </c>
      <c r="AI3" s="1" t="s">
        <v>129</v>
      </c>
      <c r="AJ3" s="1" t="s">
        <v>112</v>
      </c>
      <c r="AK3" s="1" t="s">
        <v>113</v>
      </c>
      <c r="AL3" s="36" t="s">
        <v>128</v>
      </c>
      <c r="AM3" s="1" t="s">
        <v>61</v>
      </c>
      <c r="AN3" s="1" t="s">
        <v>100</v>
      </c>
      <c r="AO3" s="1" t="s">
        <v>114</v>
      </c>
      <c r="AR3" s="1" t="s">
        <v>70</v>
      </c>
    </row>
    <row r="4" spans="1:38" s="1" customFormat="1" ht="12">
      <c r="A4" s="37" t="s">
        <v>10</v>
      </c>
      <c r="D4" s="2"/>
      <c r="E4" s="17"/>
      <c r="F4" s="4"/>
      <c r="AL4" s="36"/>
    </row>
    <row r="5" spans="1:44" ht="12">
      <c r="A5" s="9" t="s">
        <v>111</v>
      </c>
      <c r="B5" t="s">
        <v>167</v>
      </c>
      <c r="C5" s="5" t="s">
        <v>142</v>
      </c>
      <c r="E5" s="16">
        <v>0.85</v>
      </c>
      <c r="G5" s="5">
        <f aca="true" t="shared" si="0" ref="G5:G11">H5+I5</f>
        <v>342</v>
      </c>
      <c r="H5" s="5">
        <v>325</v>
      </c>
      <c r="I5" s="5">
        <v>17</v>
      </c>
      <c r="J5" s="5">
        <f aca="true" t="shared" si="1" ref="J5:J11">K5+L5</f>
        <v>314</v>
      </c>
      <c r="K5" s="5">
        <v>300</v>
      </c>
      <c r="L5" s="5">
        <v>14</v>
      </c>
      <c r="M5" s="5">
        <f aca="true" t="shared" si="2" ref="M5:M22">G5-J5</f>
        <v>28</v>
      </c>
      <c r="N5" s="7">
        <f aca="true" t="shared" si="3" ref="N5:N16">J5/G5</f>
        <v>0.9181286549707602</v>
      </c>
      <c r="O5" s="7">
        <f aca="true" t="shared" si="4" ref="O5:O16">K5/H5</f>
        <v>0.9230769230769231</v>
      </c>
      <c r="P5" s="7">
        <f aca="true" t="shared" si="5" ref="P5:P16">L5/I5</f>
        <v>0.8235294117647058</v>
      </c>
      <c r="Q5" s="7">
        <f aca="true" t="shared" si="6" ref="Q5:Q22">M5/G5</f>
        <v>0.08187134502923976</v>
      </c>
      <c r="S5" s="5">
        <f>T5+U5</f>
        <v>637</v>
      </c>
      <c r="T5" s="5">
        <v>595</v>
      </c>
      <c r="U5" s="5">
        <v>42</v>
      </c>
      <c r="V5" s="5">
        <f>W5+X5</f>
        <v>541</v>
      </c>
      <c r="W5" s="5">
        <v>516</v>
      </c>
      <c r="X5" s="5">
        <v>25</v>
      </c>
      <c r="Y5" s="5">
        <f aca="true" t="shared" si="7" ref="Y5:Y22">S5-V5</f>
        <v>96</v>
      </c>
      <c r="Z5" s="7">
        <f>V5/S5</f>
        <v>0.8492935635792779</v>
      </c>
      <c r="AA5" s="7">
        <f>W5/T5</f>
        <v>0.8672268907563025</v>
      </c>
      <c r="AB5" s="7">
        <f>X5/U5</f>
        <v>0.5952380952380952</v>
      </c>
      <c r="AC5" s="7">
        <f aca="true" t="shared" si="8" ref="AC5:AC22">Y5/S5</f>
        <v>0.15070643642072212</v>
      </c>
      <c r="AE5" s="5">
        <f aca="true" t="shared" si="9" ref="AE5:AE16">G5+S5</f>
        <v>979</v>
      </c>
      <c r="AF5" s="5">
        <f aca="true" t="shared" si="10" ref="AF5:AF16">H5+T5</f>
        <v>920</v>
      </c>
      <c r="AG5" s="5">
        <f aca="true" t="shared" si="11" ref="AG5:AG16">I5+U5</f>
        <v>59</v>
      </c>
      <c r="AH5" s="5">
        <f aca="true" t="shared" si="12" ref="AH5:AH16">J5+V5</f>
        <v>855</v>
      </c>
      <c r="AI5" s="5">
        <f aca="true" t="shared" si="13" ref="AI5:AI16">K5+W5</f>
        <v>816</v>
      </c>
      <c r="AJ5" s="5">
        <f aca="true" t="shared" si="14" ref="AJ5:AJ16">L5+X5</f>
        <v>39</v>
      </c>
      <c r="AK5" s="5">
        <f aca="true" t="shared" si="15" ref="AK5:AK16">M5+Y5</f>
        <v>124</v>
      </c>
      <c r="AL5" s="35">
        <f aca="true" t="shared" si="16" ref="AL5:AN12">AH5/AE5</f>
        <v>0.8733401430030644</v>
      </c>
      <c r="AM5" s="7">
        <f t="shared" si="16"/>
        <v>0.8869565217391304</v>
      </c>
      <c r="AN5" s="7">
        <f t="shared" si="16"/>
        <v>0.6610169491525424</v>
      </c>
      <c r="AO5" s="7">
        <f aca="true" t="shared" si="17" ref="AO5:AO22">AK5/AE5</f>
        <v>0.12665985699693566</v>
      </c>
      <c r="AR5" s="7">
        <f aca="true" t="shared" si="18" ref="AR5:AR22">U5/T5</f>
        <v>0.07058823529411765</v>
      </c>
    </row>
    <row r="6" spans="1:44" ht="12">
      <c r="A6" s="9" t="s">
        <v>115</v>
      </c>
      <c r="B6" t="s">
        <v>130</v>
      </c>
      <c r="C6" s="5" t="s">
        <v>143</v>
      </c>
      <c r="D6" s="6">
        <v>40179</v>
      </c>
      <c r="E6" s="16">
        <v>0.85</v>
      </c>
      <c r="F6" s="8" t="s">
        <v>123</v>
      </c>
      <c r="G6" s="5">
        <f t="shared" si="0"/>
        <v>142</v>
      </c>
      <c r="H6" s="5">
        <v>135</v>
      </c>
      <c r="I6" s="5">
        <v>7</v>
      </c>
      <c r="J6" s="5">
        <f t="shared" si="1"/>
        <v>126</v>
      </c>
      <c r="K6" s="5">
        <v>123</v>
      </c>
      <c r="L6" s="5">
        <v>3</v>
      </c>
      <c r="M6" s="5">
        <f t="shared" si="2"/>
        <v>16</v>
      </c>
      <c r="N6" s="7">
        <f t="shared" si="3"/>
        <v>0.8873239436619719</v>
      </c>
      <c r="O6" s="7">
        <f t="shared" si="4"/>
        <v>0.9111111111111111</v>
      </c>
      <c r="P6" s="7">
        <f t="shared" si="5"/>
        <v>0.42857142857142855</v>
      </c>
      <c r="Q6" s="7">
        <f t="shared" si="6"/>
        <v>0.11267605633802817</v>
      </c>
      <c r="S6" s="5">
        <f>T6+U6</f>
        <v>492</v>
      </c>
      <c r="T6" s="5">
        <v>401</v>
      </c>
      <c r="U6" s="5">
        <v>91</v>
      </c>
      <c r="V6" s="5">
        <v>408</v>
      </c>
      <c r="Y6" s="5">
        <f t="shared" si="7"/>
        <v>84</v>
      </c>
      <c r="Z6" s="7">
        <f aca="true" t="shared" si="19" ref="Z6:Z22">V6/S6</f>
        <v>0.8292682926829268</v>
      </c>
      <c r="AA6" s="7"/>
      <c r="AB6" s="7"/>
      <c r="AC6" s="7">
        <f t="shared" si="8"/>
        <v>0.17073170731707318</v>
      </c>
      <c r="AE6" s="5">
        <f t="shared" si="9"/>
        <v>634</v>
      </c>
      <c r="AF6" s="5">
        <f t="shared" si="10"/>
        <v>536</v>
      </c>
      <c r="AG6" s="5">
        <f t="shared" si="11"/>
        <v>98</v>
      </c>
      <c r="AH6" s="5">
        <f t="shared" si="12"/>
        <v>534</v>
      </c>
      <c r="AI6" s="5">
        <f t="shared" si="13"/>
        <v>123</v>
      </c>
      <c r="AJ6" s="5">
        <f t="shared" si="14"/>
        <v>3</v>
      </c>
      <c r="AK6" s="5">
        <f t="shared" si="15"/>
        <v>100</v>
      </c>
      <c r="AL6" s="35">
        <f t="shared" si="16"/>
        <v>0.8422712933753943</v>
      </c>
      <c r="AM6" s="7">
        <f t="shared" si="16"/>
        <v>0.2294776119402985</v>
      </c>
      <c r="AN6" s="7">
        <f t="shared" si="16"/>
        <v>0.030612244897959183</v>
      </c>
      <c r="AO6" s="7">
        <f t="shared" si="17"/>
        <v>0.15772870662460567</v>
      </c>
      <c r="AR6" s="7">
        <f t="shared" si="18"/>
        <v>0.22693266832917705</v>
      </c>
    </row>
    <row r="7" spans="1:44" ht="12">
      <c r="A7" s="9" t="s">
        <v>84</v>
      </c>
      <c r="B7" s="9" t="s">
        <v>67</v>
      </c>
      <c r="C7" s="5" t="s">
        <v>157</v>
      </c>
      <c r="D7" s="10">
        <v>39873</v>
      </c>
      <c r="E7" s="16">
        <v>0.85</v>
      </c>
      <c r="F7" s="11"/>
      <c r="G7" s="5">
        <f t="shared" si="0"/>
        <v>301</v>
      </c>
      <c r="H7" s="5">
        <v>288</v>
      </c>
      <c r="I7" s="5">
        <v>13</v>
      </c>
      <c r="J7" s="5">
        <f t="shared" si="1"/>
        <v>269</v>
      </c>
      <c r="K7" s="5">
        <v>263</v>
      </c>
      <c r="L7" s="5">
        <v>6</v>
      </c>
      <c r="M7" s="5">
        <f t="shared" si="2"/>
        <v>32</v>
      </c>
      <c r="N7" s="7">
        <f t="shared" si="3"/>
        <v>0.893687707641196</v>
      </c>
      <c r="O7" s="7">
        <f t="shared" si="4"/>
        <v>0.9131944444444444</v>
      </c>
      <c r="P7" s="7">
        <f t="shared" si="5"/>
        <v>0.46153846153846156</v>
      </c>
      <c r="Q7" s="7">
        <f t="shared" si="6"/>
        <v>0.10631229235880399</v>
      </c>
      <c r="S7" s="5">
        <v>1028</v>
      </c>
      <c r="T7" s="5">
        <v>676</v>
      </c>
      <c r="U7" s="5">
        <v>352</v>
      </c>
      <c r="V7" s="5">
        <f>W7+X7</f>
        <v>841</v>
      </c>
      <c r="W7" s="5">
        <v>630</v>
      </c>
      <c r="X7" s="5">
        <v>211</v>
      </c>
      <c r="Y7" s="5">
        <f t="shared" si="7"/>
        <v>187</v>
      </c>
      <c r="Z7" s="7">
        <f t="shared" si="19"/>
        <v>0.8180933852140078</v>
      </c>
      <c r="AA7" s="7">
        <f aca="true" t="shared" si="20" ref="AA7:AA16">W7/T7</f>
        <v>0.9319526627218935</v>
      </c>
      <c r="AB7" s="7">
        <f aca="true" t="shared" si="21" ref="AB7:AB16">X7/U7</f>
        <v>0.5994318181818182</v>
      </c>
      <c r="AC7" s="7">
        <f t="shared" si="8"/>
        <v>0.1819066147859922</v>
      </c>
      <c r="AE7" s="5">
        <f t="shared" si="9"/>
        <v>1329</v>
      </c>
      <c r="AF7" s="5">
        <f t="shared" si="10"/>
        <v>964</v>
      </c>
      <c r="AG7" s="5">
        <f t="shared" si="11"/>
        <v>365</v>
      </c>
      <c r="AH7" s="5">
        <f t="shared" si="12"/>
        <v>1110</v>
      </c>
      <c r="AI7" s="5">
        <f t="shared" si="13"/>
        <v>893</v>
      </c>
      <c r="AJ7" s="5">
        <f t="shared" si="14"/>
        <v>217</v>
      </c>
      <c r="AK7" s="5">
        <f t="shared" si="15"/>
        <v>219</v>
      </c>
      <c r="AL7" s="35">
        <f t="shared" si="16"/>
        <v>0.835214446952596</v>
      </c>
      <c r="AM7" s="7">
        <f t="shared" si="16"/>
        <v>0.9263485477178424</v>
      </c>
      <c r="AN7" s="7">
        <f t="shared" si="16"/>
        <v>0.5945205479452055</v>
      </c>
      <c r="AO7" s="7">
        <f t="shared" si="17"/>
        <v>0.16478555304740405</v>
      </c>
      <c r="AR7" s="7">
        <f t="shared" si="18"/>
        <v>0.5207100591715976</v>
      </c>
    </row>
    <row r="8" spans="1:44" ht="12">
      <c r="A8" s="13" t="s">
        <v>87</v>
      </c>
      <c r="B8" t="s">
        <v>88</v>
      </c>
      <c r="C8" s="5" t="s">
        <v>86</v>
      </c>
      <c r="E8" s="16">
        <v>0.85</v>
      </c>
      <c r="G8" s="5">
        <f t="shared" si="0"/>
        <v>0</v>
      </c>
      <c r="J8" s="5">
        <f t="shared" si="1"/>
        <v>0</v>
      </c>
      <c r="M8" s="5">
        <f t="shared" si="2"/>
        <v>0</v>
      </c>
      <c r="N8" s="7" t="e">
        <f t="shared" si="3"/>
        <v>#DIV/0!</v>
      </c>
      <c r="O8" s="7" t="e">
        <f t="shared" si="4"/>
        <v>#DIV/0!</v>
      </c>
      <c r="P8" s="7" t="e">
        <f t="shared" si="5"/>
        <v>#DIV/0!</v>
      </c>
      <c r="Q8" s="7" t="e">
        <f t="shared" si="6"/>
        <v>#DIV/0!</v>
      </c>
      <c r="S8" s="5">
        <f>T8+U8</f>
        <v>437</v>
      </c>
      <c r="T8" s="5">
        <v>420</v>
      </c>
      <c r="U8" s="5">
        <v>17</v>
      </c>
      <c r="V8" s="5">
        <f>W8+X8</f>
        <v>358</v>
      </c>
      <c r="W8" s="5">
        <v>346</v>
      </c>
      <c r="X8" s="5">
        <v>12</v>
      </c>
      <c r="Y8" s="5">
        <f t="shared" si="7"/>
        <v>79</v>
      </c>
      <c r="Z8" s="7">
        <f t="shared" si="19"/>
        <v>0.8192219679633868</v>
      </c>
      <c r="AA8" s="7">
        <f t="shared" si="20"/>
        <v>0.8238095238095238</v>
      </c>
      <c r="AB8" s="7">
        <f t="shared" si="21"/>
        <v>0.7058823529411765</v>
      </c>
      <c r="AC8" s="7">
        <f t="shared" si="8"/>
        <v>0.18077803203661327</v>
      </c>
      <c r="AE8" s="5">
        <f t="shared" si="9"/>
        <v>437</v>
      </c>
      <c r="AF8" s="5">
        <f t="shared" si="10"/>
        <v>420</v>
      </c>
      <c r="AG8" s="5">
        <f t="shared" si="11"/>
        <v>17</v>
      </c>
      <c r="AH8" s="5">
        <f t="shared" si="12"/>
        <v>358</v>
      </c>
      <c r="AI8" s="5">
        <f t="shared" si="13"/>
        <v>346</v>
      </c>
      <c r="AJ8" s="5">
        <f t="shared" si="14"/>
        <v>12</v>
      </c>
      <c r="AK8" s="5">
        <f t="shared" si="15"/>
        <v>79</v>
      </c>
      <c r="AL8" s="35">
        <f t="shared" si="16"/>
        <v>0.8192219679633868</v>
      </c>
      <c r="AM8" s="7">
        <f t="shared" si="16"/>
        <v>0.8238095238095238</v>
      </c>
      <c r="AN8" s="7">
        <f t="shared" si="16"/>
        <v>0.7058823529411765</v>
      </c>
      <c r="AO8" s="7">
        <f t="shared" si="17"/>
        <v>0.18077803203661327</v>
      </c>
      <c r="AR8" s="7">
        <f t="shared" si="18"/>
        <v>0.04047619047619048</v>
      </c>
    </row>
    <row r="9" spans="1:44" ht="12">
      <c r="A9" s="13" t="s">
        <v>15</v>
      </c>
      <c r="B9" t="s">
        <v>154</v>
      </c>
      <c r="C9" s="5" t="s">
        <v>144</v>
      </c>
      <c r="D9" s="6">
        <v>40179</v>
      </c>
      <c r="E9" s="16">
        <v>0.85</v>
      </c>
      <c r="G9" s="5">
        <f t="shared" si="0"/>
        <v>226</v>
      </c>
      <c r="H9" s="5">
        <v>170</v>
      </c>
      <c r="I9" s="5">
        <v>56</v>
      </c>
      <c r="J9" s="5">
        <f t="shared" si="1"/>
        <v>169</v>
      </c>
      <c r="K9" s="5">
        <v>154</v>
      </c>
      <c r="L9" s="5">
        <v>15</v>
      </c>
      <c r="M9" s="5">
        <f t="shared" si="2"/>
        <v>57</v>
      </c>
      <c r="N9" s="7">
        <f t="shared" si="3"/>
        <v>0.7477876106194691</v>
      </c>
      <c r="O9" s="7">
        <f t="shared" si="4"/>
        <v>0.9058823529411765</v>
      </c>
      <c r="P9" s="7">
        <f t="shared" si="5"/>
        <v>0.26785714285714285</v>
      </c>
      <c r="Q9" s="7">
        <f t="shared" si="6"/>
        <v>0.252212389380531</v>
      </c>
      <c r="S9" s="5">
        <f>T9+U9</f>
        <v>278</v>
      </c>
      <c r="T9" s="5">
        <v>268</v>
      </c>
      <c r="U9" s="5">
        <v>10</v>
      </c>
      <c r="V9" s="5">
        <f>W9+X9</f>
        <v>221</v>
      </c>
      <c r="W9" s="5">
        <v>213</v>
      </c>
      <c r="X9" s="5">
        <v>8</v>
      </c>
      <c r="Y9" s="5">
        <f t="shared" si="7"/>
        <v>57</v>
      </c>
      <c r="Z9" s="7">
        <f t="shared" si="19"/>
        <v>0.7949640287769785</v>
      </c>
      <c r="AA9" s="7">
        <f t="shared" si="20"/>
        <v>0.7947761194029851</v>
      </c>
      <c r="AB9" s="7">
        <f t="shared" si="21"/>
        <v>0.8</v>
      </c>
      <c r="AC9" s="7">
        <f t="shared" si="8"/>
        <v>0.20503597122302158</v>
      </c>
      <c r="AE9" s="5">
        <f t="shared" si="9"/>
        <v>504</v>
      </c>
      <c r="AF9" s="5">
        <f t="shared" si="10"/>
        <v>438</v>
      </c>
      <c r="AG9" s="5">
        <f t="shared" si="11"/>
        <v>66</v>
      </c>
      <c r="AH9" s="5">
        <f t="shared" si="12"/>
        <v>390</v>
      </c>
      <c r="AI9" s="5">
        <f t="shared" si="13"/>
        <v>367</v>
      </c>
      <c r="AJ9" s="5">
        <f t="shared" si="14"/>
        <v>23</v>
      </c>
      <c r="AK9" s="5">
        <f t="shared" si="15"/>
        <v>114</v>
      </c>
      <c r="AL9" s="35">
        <f t="shared" si="16"/>
        <v>0.7738095238095238</v>
      </c>
      <c r="AM9" s="7">
        <f t="shared" si="16"/>
        <v>0.8378995433789954</v>
      </c>
      <c r="AN9" s="7">
        <f t="shared" si="16"/>
        <v>0.3484848484848485</v>
      </c>
      <c r="AO9" s="7">
        <f t="shared" si="17"/>
        <v>0.2261904761904762</v>
      </c>
      <c r="AR9" s="7">
        <f t="shared" si="18"/>
        <v>0.03731343283582089</v>
      </c>
    </row>
    <row r="10" spans="1:44" ht="12">
      <c r="A10" s="9" t="s">
        <v>36</v>
      </c>
      <c r="B10" t="s">
        <v>98</v>
      </c>
      <c r="C10" s="5" t="s">
        <v>146</v>
      </c>
      <c r="D10" s="6">
        <v>40179</v>
      </c>
      <c r="E10" s="16">
        <v>0.8</v>
      </c>
      <c r="G10" s="5">
        <f t="shared" si="0"/>
        <v>903</v>
      </c>
      <c r="H10" s="5">
        <v>873</v>
      </c>
      <c r="I10" s="5">
        <v>30</v>
      </c>
      <c r="J10" s="5">
        <f t="shared" si="1"/>
        <v>809</v>
      </c>
      <c r="K10" s="5">
        <v>789</v>
      </c>
      <c r="L10" s="5">
        <v>20</v>
      </c>
      <c r="M10" s="5">
        <f t="shared" si="2"/>
        <v>94</v>
      </c>
      <c r="N10" s="7">
        <f t="shared" si="3"/>
        <v>0.8959025470653378</v>
      </c>
      <c r="O10" s="7">
        <f t="shared" si="4"/>
        <v>0.9037800687285223</v>
      </c>
      <c r="P10" s="7">
        <f t="shared" si="5"/>
        <v>0.6666666666666666</v>
      </c>
      <c r="Q10" s="7">
        <f t="shared" si="6"/>
        <v>0.10409745293466224</v>
      </c>
      <c r="S10" s="5">
        <f>T10+U10</f>
        <v>2086</v>
      </c>
      <c r="T10" s="5">
        <v>1777</v>
      </c>
      <c r="U10" s="5">
        <v>309</v>
      </c>
      <c r="V10" s="5">
        <f>W10+X10</f>
        <v>1692</v>
      </c>
      <c r="W10" s="5">
        <v>1492</v>
      </c>
      <c r="X10" s="5">
        <v>200</v>
      </c>
      <c r="Y10" s="5">
        <f t="shared" si="7"/>
        <v>394</v>
      </c>
      <c r="Z10" s="7">
        <f t="shared" si="19"/>
        <v>0.8111217641418984</v>
      </c>
      <c r="AA10" s="7">
        <f t="shared" si="20"/>
        <v>0.8396173325830051</v>
      </c>
      <c r="AB10" s="7">
        <f t="shared" si="21"/>
        <v>0.6472491909385113</v>
      </c>
      <c r="AC10" s="7">
        <f t="shared" si="8"/>
        <v>0.18887823585810162</v>
      </c>
      <c r="AE10" s="5">
        <f t="shared" si="9"/>
        <v>2989</v>
      </c>
      <c r="AF10" s="5">
        <f t="shared" si="10"/>
        <v>2650</v>
      </c>
      <c r="AG10" s="5">
        <f t="shared" si="11"/>
        <v>339</v>
      </c>
      <c r="AH10" s="5">
        <f t="shared" si="12"/>
        <v>2501</v>
      </c>
      <c r="AI10" s="5">
        <f t="shared" si="13"/>
        <v>2281</v>
      </c>
      <c r="AJ10" s="5">
        <f t="shared" si="14"/>
        <v>220</v>
      </c>
      <c r="AK10" s="5">
        <f t="shared" si="15"/>
        <v>488</v>
      </c>
      <c r="AL10" s="35">
        <f t="shared" si="16"/>
        <v>0.8367346938775511</v>
      </c>
      <c r="AM10" s="7">
        <f t="shared" si="16"/>
        <v>0.860754716981132</v>
      </c>
      <c r="AN10" s="7">
        <f t="shared" si="16"/>
        <v>0.6489675516224189</v>
      </c>
      <c r="AO10" s="7">
        <f t="shared" si="17"/>
        <v>0.16326530612244897</v>
      </c>
      <c r="AR10" s="7">
        <f t="shared" si="18"/>
        <v>0.1738885762521103</v>
      </c>
    </row>
    <row r="11" spans="1:44" ht="12">
      <c r="A11" s="9" t="s">
        <v>37</v>
      </c>
      <c r="B11" t="s">
        <v>62</v>
      </c>
      <c r="C11" s="5" t="s">
        <v>152</v>
      </c>
      <c r="D11" s="6">
        <v>40179</v>
      </c>
      <c r="E11" s="16">
        <v>0.8</v>
      </c>
      <c r="F11" s="8" t="s">
        <v>96</v>
      </c>
      <c r="G11" s="5">
        <f t="shared" si="0"/>
        <v>371</v>
      </c>
      <c r="H11" s="5">
        <v>347</v>
      </c>
      <c r="I11" s="5">
        <v>24</v>
      </c>
      <c r="J11" s="5">
        <f t="shared" si="1"/>
        <v>321</v>
      </c>
      <c r="K11" s="5">
        <v>304</v>
      </c>
      <c r="L11" s="5">
        <v>17</v>
      </c>
      <c r="M11" s="5">
        <f t="shared" si="2"/>
        <v>50</v>
      </c>
      <c r="N11" s="7">
        <f t="shared" si="3"/>
        <v>0.8652291105121294</v>
      </c>
      <c r="O11" s="7">
        <f t="shared" si="4"/>
        <v>0.8760806916426513</v>
      </c>
      <c r="P11" s="7">
        <f t="shared" si="5"/>
        <v>0.7083333333333334</v>
      </c>
      <c r="Q11" s="7">
        <f t="shared" si="6"/>
        <v>0.1347708894878706</v>
      </c>
      <c r="S11" s="5">
        <f>T11+U11</f>
        <v>780</v>
      </c>
      <c r="T11" s="5">
        <v>645</v>
      </c>
      <c r="U11" s="5">
        <v>135</v>
      </c>
      <c r="V11" s="5">
        <f>W11+X11</f>
        <v>618</v>
      </c>
      <c r="W11" s="5">
        <v>528</v>
      </c>
      <c r="X11" s="5">
        <v>90</v>
      </c>
      <c r="Y11" s="5">
        <f t="shared" si="7"/>
        <v>162</v>
      </c>
      <c r="Z11" s="7">
        <f t="shared" si="19"/>
        <v>0.7923076923076923</v>
      </c>
      <c r="AA11" s="7">
        <f t="shared" si="20"/>
        <v>0.8186046511627907</v>
      </c>
      <c r="AB11" s="7">
        <f t="shared" si="21"/>
        <v>0.6666666666666666</v>
      </c>
      <c r="AC11" s="7">
        <f t="shared" si="8"/>
        <v>0.2076923076923077</v>
      </c>
      <c r="AE11" s="5">
        <f t="shared" si="9"/>
        <v>1151</v>
      </c>
      <c r="AF11" s="5">
        <f t="shared" si="10"/>
        <v>992</v>
      </c>
      <c r="AG11" s="5">
        <f t="shared" si="11"/>
        <v>159</v>
      </c>
      <c r="AH11" s="5">
        <f t="shared" si="12"/>
        <v>939</v>
      </c>
      <c r="AI11" s="5">
        <f t="shared" si="13"/>
        <v>832</v>
      </c>
      <c r="AJ11" s="5">
        <f t="shared" si="14"/>
        <v>107</v>
      </c>
      <c r="AK11" s="5">
        <f t="shared" si="15"/>
        <v>212</v>
      </c>
      <c r="AL11" s="35">
        <f t="shared" si="16"/>
        <v>0.8158123370981755</v>
      </c>
      <c r="AM11" s="7">
        <f t="shared" si="16"/>
        <v>0.8387096774193549</v>
      </c>
      <c r="AN11" s="7">
        <f t="shared" si="16"/>
        <v>0.6729559748427673</v>
      </c>
      <c r="AO11" s="7">
        <f t="shared" si="17"/>
        <v>0.1841876629018245</v>
      </c>
      <c r="AR11" s="7">
        <f t="shared" si="18"/>
        <v>0.20930232558139536</v>
      </c>
    </row>
    <row r="12" spans="1:44" ht="12">
      <c r="A12" s="9" t="s">
        <v>35</v>
      </c>
      <c r="B12" t="s">
        <v>109</v>
      </c>
      <c r="C12" s="5" t="s">
        <v>155</v>
      </c>
      <c r="D12" s="6">
        <v>40188</v>
      </c>
      <c r="E12" s="16">
        <v>0.8</v>
      </c>
      <c r="G12" s="5">
        <v>269</v>
      </c>
      <c r="H12" s="5" t="s">
        <v>26</v>
      </c>
      <c r="J12" s="5">
        <v>156</v>
      </c>
      <c r="M12" s="5">
        <f t="shared" si="2"/>
        <v>113</v>
      </c>
      <c r="N12" s="7">
        <f t="shared" si="3"/>
        <v>0.5799256505576208</v>
      </c>
      <c r="O12" s="7" t="e">
        <f t="shared" si="4"/>
        <v>#VALUE!</v>
      </c>
      <c r="P12" s="7" t="e">
        <f t="shared" si="5"/>
        <v>#DIV/0!</v>
      </c>
      <c r="Q12" s="7">
        <f t="shared" si="6"/>
        <v>0.4200743494423792</v>
      </c>
      <c r="S12" s="5">
        <v>496</v>
      </c>
      <c r="V12" s="5">
        <v>386</v>
      </c>
      <c r="Y12" s="5">
        <f t="shared" si="7"/>
        <v>110</v>
      </c>
      <c r="Z12" s="7">
        <f t="shared" si="19"/>
        <v>0.7782258064516129</v>
      </c>
      <c r="AA12" s="7" t="e">
        <f t="shared" si="20"/>
        <v>#DIV/0!</v>
      </c>
      <c r="AB12" s="7" t="e">
        <f t="shared" si="21"/>
        <v>#DIV/0!</v>
      </c>
      <c r="AC12" s="7">
        <f t="shared" si="8"/>
        <v>0.2217741935483871</v>
      </c>
      <c r="AE12" s="5">
        <f t="shared" si="9"/>
        <v>765</v>
      </c>
      <c r="AF12" s="5" t="e">
        <f t="shared" si="10"/>
        <v>#VALUE!</v>
      </c>
      <c r="AG12" s="5">
        <f t="shared" si="11"/>
        <v>0</v>
      </c>
      <c r="AH12" s="5">
        <f t="shared" si="12"/>
        <v>542</v>
      </c>
      <c r="AI12" s="5">
        <f t="shared" si="13"/>
        <v>0</v>
      </c>
      <c r="AJ12" s="5">
        <f t="shared" si="14"/>
        <v>0</v>
      </c>
      <c r="AK12" s="5">
        <f t="shared" si="15"/>
        <v>223</v>
      </c>
      <c r="AL12" s="35">
        <f t="shared" si="16"/>
        <v>0.7084967320261438</v>
      </c>
      <c r="AM12" s="7" t="e">
        <f t="shared" si="16"/>
        <v>#VALUE!</v>
      </c>
      <c r="AN12" s="7" t="e">
        <f t="shared" si="16"/>
        <v>#DIV/0!</v>
      </c>
      <c r="AO12" s="7">
        <f t="shared" si="17"/>
        <v>0.29150326797385623</v>
      </c>
      <c r="AR12" s="7" t="e">
        <f t="shared" si="18"/>
        <v>#DIV/0!</v>
      </c>
    </row>
    <row r="13" spans="1:44" ht="12">
      <c r="A13" s="13" t="s">
        <v>24</v>
      </c>
      <c r="B13" t="s">
        <v>103</v>
      </c>
      <c r="C13" s="5" t="s">
        <v>145</v>
      </c>
      <c r="E13" s="16">
        <f>(0.71+0.85)/2</f>
        <v>0.78</v>
      </c>
      <c r="G13" s="5">
        <f>H13+I13</f>
        <v>0</v>
      </c>
      <c r="J13" s="5">
        <f>K13+L13</f>
        <v>0</v>
      </c>
      <c r="M13" s="5">
        <f t="shared" si="2"/>
        <v>0</v>
      </c>
      <c r="N13" s="7" t="e">
        <f t="shared" si="3"/>
        <v>#DIV/0!</v>
      </c>
      <c r="O13" s="7" t="e">
        <f t="shared" si="4"/>
        <v>#DIV/0!</v>
      </c>
      <c r="P13" s="7" t="e">
        <f t="shared" si="5"/>
        <v>#DIV/0!</v>
      </c>
      <c r="Q13" s="7" t="e">
        <f t="shared" si="6"/>
        <v>#DIV/0!</v>
      </c>
      <c r="S13" s="5">
        <f>T13+U13</f>
        <v>0</v>
      </c>
      <c r="V13" s="5">
        <f>W13+X13</f>
        <v>0</v>
      </c>
      <c r="Y13" s="5">
        <f t="shared" si="7"/>
        <v>0</v>
      </c>
      <c r="Z13" s="7" t="e">
        <f t="shared" si="19"/>
        <v>#DIV/0!</v>
      </c>
      <c r="AA13" s="7" t="e">
        <f t="shared" si="20"/>
        <v>#DIV/0!</v>
      </c>
      <c r="AB13" s="7" t="e">
        <f t="shared" si="21"/>
        <v>#DIV/0!</v>
      </c>
      <c r="AC13" s="7" t="e">
        <f t="shared" si="8"/>
        <v>#DIV/0!</v>
      </c>
      <c r="AE13" s="5">
        <f t="shared" si="9"/>
        <v>0</v>
      </c>
      <c r="AF13" s="5">
        <f t="shared" si="10"/>
        <v>0</v>
      </c>
      <c r="AG13" s="5">
        <f t="shared" si="11"/>
        <v>0</v>
      </c>
      <c r="AH13" s="5">
        <f t="shared" si="12"/>
        <v>0</v>
      </c>
      <c r="AI13" s="5">
        <f t="shared" si="13"/>
        <v>0</v>
      </c>
      <c r="AJ13" s="5">
        <f t="shared" si="14"/>
        <v>0</v>
      </c>
      <c r="AK13" s="5">
        <f t="shared" si="15"/>
        <v>0</v>
      </c>
      <c r="AL13" s="35">
        <v>0.77</v>
      </c>
      <c r="AM13" s="7" t="e">
        <f aca="true" t="shared" si="22" ref="AM13:AN16">AI13/AF13</f>
        <v>#DIV/0!</v>
      </c>
      <c r="AN13" s="7" t="e">
        <f t="shared" si="22"/>
        <v>#DIV/0!</v>
      </c>
      <c r="AO13" s="7" t="e">
        <f t="shared" si="17"/>
        <v>#DIV/0!</v>
      </c>
      <c r="AR13" s="7" t="e">
        <f t="shared" si="18"/>
        <v>#DIV/0!</v>
      </c>
    </row>
    <row r="14" spans="1:44" ht="12">
      <c r="A14" s="9" t="s">
        <v>33</v>
      </c>
      <c r="B14" t="s">
        <v>168</v>
      </c>
      <c r="C14" s="5" t="s">
        <v>151</v>
      </c>
      <c r="D14" s="6">
        <v>40179</v>
      </c>
      <c r="E14" s="16">
        <v>0.75</v>
      </c>
      <c r="G14" s="5">
        <f>H14+I14</f>
        <v>691</v>
      </c>
      <c r="H14" s="5">
        <v>668</v>
      </c>
      <c r="I14" s="5">
        <v>23</v>
      </c>
      <c r="J14" s="5">
        <f>K14+L14</f>
        <v>566</v>
      </c>
      <c r="K14" s="5">
        <v>556</v>
      </c>
      <c r="L14" s="5">
        <v>10</v>
      </c>
      <c r="M14" s="5">
        <f t="shared" si="2"/>
        <v>125</v>
      </c>
      <c r="N14" s="7">
        <f t="shared" si="3"/>
        <v>0.8191027496382055</v>
      </c>
      <c r="O14" s="7">
        <f t="shared" si="4"/>
        <v>0.8323353293413174</v>
      </c>
      <c r="P14" s="7">
        <f t="shared" si="5"/>
        <v>0.43478260869565216</v>
      </c>
      <c r="Q14" s="7">
        <f t="shared" si="6"/>
        <v>0.1808972503617945</v>
      </c>
      <c r="S14" s="5">
        <f>T14+U14</f>
        <v>1186</v>
      </c>
      <c r="T14" s="5">
        <v>979</v>
      </c>
      <c r="U14" s="5">
        <v>207</v>
      </c>
      <c r="V14" s="5">
        <f>W14+X14</f>
        <v>846</v>
      </c>
      <c r="W14" s="5">
        <v>745</v>
      </c>
      <c r="X14" s="5">
        <v>101</v>
      </c>
      <c r="Y14" s="5">
        <f t="shared" si="7"/>
        <v>340</v>
      </c>
      <c r="Z14" s="7">
        <f t="shared" si="19"/>
        <v>0.7133220910623946</v>
      </c>
      <c r="AA14" s="7">
        <f t="shared" si="20"/>
        <v>0.7609805924412666</v>
      </c>
      <c r="AB14" s="7">
        <f t="shared" si="21"/>
        <v>0.48792270531400966</v>
      </c>
      <c r="AC14" s="7">
        <f t="shared" si="8"/>
        <v>0.2866779089376054</v>
      </c>
      <c r="AE14" s="5">
        <f t="shared" si="9"/>
        <v>1877</v>
      </c>
      <c r="AF14" s="5">
        <f t="shared" si="10"/>
        <v>1647</v>
      </c>
      <c r="AG14" s="5">
        <f t="shared" si="11"/>
        <v>230</v>
      </c>
      <c r="AH14" s="5">
        <f t="shared" si="12"/>
        <v>1412</v>
      </c>
      <c r="AI14" s="5">
        <f t="shared" si="13"/>
        <v>1301</v>
      </c>
      <c r="AJ14" s="5">
        <f t="shared" si="14"/>
        <v>111</v>
      </c>
      <c r="AK14" s="5">
        <f t="shared" si="15"/>
        <v>465</v>
      </c>
      <c r="AL14" s="35">
        <f aca="true" t="shared" si="23" ref="AL14:AL22">AH14/AE14</f>
        <v>0.7522642514651039</v>
      </c>
      <c r="AM14" s="7">
        <f t="shared" si="22"/>
        <v>0.7899210686095932</v>
      </c>
      <c r="AN14" s="7">
        <f t="shared" si="22"/>
        <v>0.4826086956521739</v>
      </c>
      <c r="AO14" s="7">
        <f t="shared" si="17"/>
        <v>0.2477357485348961</v>
      </c>
      <c r="AR14" s="7">
        <f t="shared" si="18"/>
        <v>0.21144024514811033</v>
      </c>
    </row>
    <row r="15" spans="1:44" ht="12">
      <c r="A15" s="9" t="s">
        <v>23</v>
      </c>
      <c r="B15" t="s">
        <v>122</v>
      </c>
      <c r="C15" s="5" t="s">
        <v>156</v>
      </c>
      <c r="D15" s="6">
        <v>40188</v>
      </c>
      <c r="E15" s="16">
        <v>0.75</v>
      </c>
      <c r="F15" s="8" t="s">
        <v>68</v>
      </c>
      <c r="G15" s="5">
        <v>50</v>
      </c>
      <c r="H15" s="5" t="s">
        <v>38</v>
      </c>
      <c r="J15" s="5">
        <v>40</v>
      </c>
      <c r="M15" s="5">
        <f t="shared" si="2"/>
        <v>10</v>
      </c>
      <c r="N15" s="7">
        <f t="shared" si="3"/>
        <v>0.8</v>
      </c>
      <c r="O15" s="7" t="e">
        <f t="shared" si="4"/>
        <v>#VALUE!</v>
      </c>
      <c r="P15" s="7" t="e">
        <f t="shared" si="5"/>
        <v>#DIV/0!</v>
      </c>
      <c r="Q15" s="7">
        <f t="shared" si="6"/>
        <v>0.2</v>
      </c>
      <c r="S15" s="5">
        <v>77</v>
      </c>
      <c r="V15" s="5">
        <v>45</v>
      </c>
      <c r="Y15" s="5">
        <f t="shared" si="7"/>
        <v>32</v>
      </c>
      <c r="Z15" s="7">
        <f t="shared" si="19"/>
        <v>0.5844155844155844</v>
      </c>
      <c r="AA15" s="7" t="e">
        <f t="shared" si="20"/>
        <v>#DIV/0!</v>
      </c>
      <c r="AB15" s="7" t="e">
        <f t="shared" si="21"/>
        <v>#DIV/0!</v>
      </c>
      <c r="AC15" s="7">
        <f t="shared" si="8"/>
        <v>0.4155844155844156</v>
      </c>
      <c r="AE15" s="5">
        <f t="shared" si="9"/>
        <v>127</v>
      </c>
      <c r="AF15" s="5" t="e">
        <f t="shared" si="10"/>
        <v>#VALUE!</v>
      </c>
      <c r="AG15" s="5">
        <f t="shared" si="11"/>
        <v>0</v>
      </c>
      <c r="AH15" s="5">
        <f t="shared" si="12"/>
        <v>85</v>
      </c>
      <c r="AI15" s="5">
        <f t="shared" si="13"/>
        <v>0</v>
      </c>
      <c r="AJ15" s="5">
        <f t="shared" si="14"/>
        <v>0</v>
      </c>
      <c r="AK15" s="5">
        <f t="shared" si="15"/>
        <v>42</v>
      </c>
      <c r="AL15" s="35">
        <f t="shared" si="23"/>
        <v>0.6692913385826772</v>
      </c>
      <c r="AM15" s="7" t="e">
        <f t="shared" si="22"/>
        <v>#VALUE!</v>
      </c>
      <c r="AN15" s="7" t="e">
        <f t="shared" si="22"/>
        <v>#DIV/0!</v>
      </c>
      <c r="AO15" s="7">
        <f t="shared" si="17"/>
        <v>0.33070866141732286</v>
      </c>
      <c r="AR15" s="7" t="e">
        <f t="shared" si="18"/>
        <v>#DIV/0!</v>
      </c>
    </row>
    <row r="16" spans="1:44" ht="12">
      <c r="A16" s="9" t="s">
        <v>34</v>
      </c>
      <c r="B16" t="s">
        <v>121</v>
      </c>
      <c r="C16" s="5" t="s">
        <v>140</v>
      </c>
      <c r="D16" s="6">
        <v>40179</v>
      </c>
      <c r="E16" s="16">
        <v>0.7</v>
      </c>
      <c r="G16" s="5">
        <f>H16+I16</f>
        <v>310</v>
      </c>
      <c r="H16" s="5">
        <v>269</v>
      </c>
      <c r="I16" s="5">
        <v>41</v>
      </c>
      <c r="J16" s="5">
        <f>K16+L16</f>
        <v>234</v>
      </c>
      <c r="K16" s="5">
        <v>221</v>
      </c>
      <c r="L16" s="5">
        <v>13</v>
      </c>
      <c r="M16" s="5">
        <f t="shared" si="2"/>
        <v>76</v>
      </c>
      <c r="N16" s="7">
        <f t="shared" si="3"/>
        <v>0.7548387096774194</v>
      </c>
      <c r="O16" s="7">
        <f t="shared" si="4"/>
        <v>0.8215613382899628</v>
      </c>
      <c r="P16" s="7">
        <f t="shared" si="5"/>
        <v>0.3170731707317073</v>
      </c>
      <c r="Q16" s="7">
        <f t="shared" si="6"/>
        <v>0.24516129032258063</v>
      </c>
      <c r="S16" s="5">
        <f>T16+U16</f>
        <v>587</v>
      </c>
      <c r="T16" s="5">
        <v>532</v>
      </c>
      <c r="U16" s="5">
        <v>55</v>
      </c>
      <c r="V16" s="5">
        <f>W16+X16</f>
        <v>415</v>
      </c>
      <c r="W16" s="5">
        <v>404</v>
      </c>
      <c r="X16" s="5">
        <v>11</v>
      </c>
      <c r="Y16" s="5">
        <f t="shared" si="7"/>
        <v>172</v>
      </c>
      <c r="Z16" s="7">
        <f t="shared" si="19"/>
        <v>0.706984667802385</v>
      </c>
      <c r="AA16" s="7">
        <f t="shared" si="20"/>
        <v>0.7593984962406015</v>
      </c>
      <c r="AB16" s="7">
        <f t="shared" si="21"/>
        <v>0.2</v>
      </c>
      <c r="AC16" s="7">
        <f t="shared" si="8"/>
        <v>0.293015332197615</v>
      </c>
      <c r="AE16" s="5">
        <f t="shared" si="9"/>
        <v>897</v>
      </c>
      <c r="AF16" s="5">
        <f t="shared" si="10"/>
        <v>801</v>
      </c>
      <c r="AG16" s="5">
        <f t="shared" si="11"/>
        <v>96</v>
      </c>
      <c r="AH16" s="5">
        <f t="shared" si="12"/>
        <v>649</v>
      </c>
      <c r="AI16" s="5">
        <f t="shared" si="13"/>
        <v>625</v>
      </c>
      <c r="AJ16" s="5">
        <f t="shared" si="14"/>
        <v>24</v>
      </c>
      <c r="AK16" s="5">
        <f t="shared" si="15"/>
        <v>248</v>
      </c>
      <c r="AL16" s="35">
        <f t="shared" si="23"/>
        <v>0.7235228539576366</v>
      </c>
      <c r="AM16" s="7">
        <f t="shared" si="22"/>
        <v>0.7802746566791511</v>
      </c>
      <c r="AN16" s="7">
        <f t="shared" si="22"/>
        <v>0.25</v>
      </c>
      <c r="AO16" s="7">
        <f t="shared" si="17"/>
        <v>0.27647714604236345</v>
      </c>
      <c r="AR16" s="7">
        <f t="shared" si="18"/>
        <v>0.10338345864661654</v>
      </c>
    </row>
    <row r="17" spans="1:44" ht="12">
      <c r="A17" s="5" t="s">
        <v>43</v>
      </c>
      <c r="B17" s="12" t="s">
        <v>66</v>
      </c>
      <c r="C17" s="5" t="s">
        <v>139</v>
      </c>
      <c r="D17" s="6">
        <v>40179</v>
      </c>
      <c r="E17" s="16">
        <v>0.7</v>
      </c>
      <c r="F17" s="8" t="s">
        <v>96</v>
      </c>
      <c r="G17" s="5">
        <v>147</v>
      </c>
      <c r="H17" s="5" t="s">
        <v>38</v>
      </c>
      <c r="J17" s="5">
        <v>110</v>
      </c>
      <c r="M17" s="5">
        <f t="shared" si="2"/>
        <v>37</v>
      </c>
      <c r="N17" s="7">
        <f aca="true" t="shared" si="24" ref="N17:N22">J17/G17</f>
        <v>0.7482993197278912</v>
      </c>
      <c r="O17" s="7"/>
      <c r="P17" s="7"/>
      <c r="Q17" s="7">
        <f t="shared" si="6"/>
        <v>0.25170068027210885</v>
      </c>
      <c r="S17" s="5">
        <v>483</v>
      </c>
      <c r="V17" s="5">
        <v>309</v>
      </c>
      <c r="Y17" s="5">
        <f t="shared" si="7"/>
        <v>174</v>
      </c>
      <c r="Z17" s="7">
        <f t="shared" si="19"/>
        <v>0.639751552795031</v>
      </c>
      <c r="AA17" s="7"/>
      <c r="AB17" s="7"/>
      <c r="AC17" s="7">
        <f t="shared" si="8"/>
        <v>0.36024844720496896</v>
      </c>
      <c r="AE17" s="5">
        <f aca="true" t="shared" si="25" ref="AE17:AE22">G17+S17</f>
        <v>630</v>
      </c>
      <c r="AH17" s="5">
        <f aca="true" t="shared" si="26" ref="AH17:AH22">J17+V17</f>
        <v>419</v>
      </c>
      <c r="AK17" s="5">
        <f aca="true" t="shared" si="27" ref="AK17:AK22">M17+Y17</f>
        <v>211</v>
      </c>
      <c r="AL17" s="35">
        <f t="shared" si="23"/>
        <v>0.665079365079365</v>
      </c>
      <c r="AM17" s="7"/>
      <c r="AN17" s="7"/>
      <c r="AO17" s="7">
        <f t="shared" si="17"/>
        <v>0.3349206349206349</v>
      </c>
      <c r="AR17" s="7" t="e">
        <f t="shared" si="18"/>
        <v>#DIV/0!</v>
      </c>
    </row>
    <row r="18" spans="1:44" ht="12">
      <c r="A18" s="5" t="s">
        <v>120</v>
      </c>
      <c r="B18" s="5" t="s">
        <v>12</v>
      </c>
      <c r="C18" s="5" t="s">
        <v>171</v>
      </c>
      <c r="E18" s="16">
        <v>0.65</v>
      </c>
      <c r="G18" s="5">
        <f>H18+I18</f>
        <v>148</v>
      </c>
      <c r="H18" s="5">
        <v>137</v>
      </c>
      <c r="I18" s="5">
        <v>11</v>
      </c>
      <c r="J18" s="5">
        <f>K18+L18</f>
        <v>106</v>
      </c>
      <c r="K18" s="5">
        <v>99</v>
      </c>
      <c r="L18" s="5">
        <v>7</v>
      </c>
      <c r="M18" s="5">
        <f t="shared" si="2"/>
        <v>42</v>
      </c>
      <c r="N18" s="7">
        <f t="shared" si="24"/>
        <v>0.7162162162162162</v>
      </c>
      <c r="O18" s="7">
        <f aca="true" t="shared" si="28" ref="O18:P22">K18/H18</f>
        <v>0.7226277372262774</v>
      </c>
      <c r="P18" s="7">
        <f t="shared" si="28"/>
        <v>0.6363636363636364</v>
      </c>
      <c r="Q18" s="7">
        <f t="shared" si="6"/>
        <v>0.28378378378378377</v>
      </c>
      <c r="S18" s="5">
        <f>T18+U18</f>
        <v>338</v>
      </c>
      <c r="T18" s="5">
        <v>299</v>
      </c>
      <c r="U18" s="5">
        <v>39</v>
      </c>
      <c r="V18" s="5">
        <f>W18+X18</f>
        <v>195</v>
      </c>
      <c r="W18" s="5">
        <v>175</v>
      </c>
      <c r="X18" s="5">
        <v>20</v>
      </c>
      <c r="Y18" s="5">
        <f t="shared" si="7"/>
        <v>143</v>
      </c>
      <c r="Z18" s="7">
        <f t="shared" si="19"/>
        <v>0.5769230769230769</v>
      </c>
      <c r="AA18" s="7">
        <f aca="true" t="shared" si="29" ref="AA18:AB22">W18/T18</f>
        <v>0.5852842809364549</v>
      </c>
      <c r="AB18" s="7">
        <f t="shared" si="29"/>
        <v>0.5128205128205128</v>
      </c>
      <c r="AC18" s="7">
        <f t="shared" si="8"/>
        <v>0.4230769230769231</v>
      </c>
      <c r="AE18" s="5">
        <f t="shared" si="25"/>
        <v>486</v>
      </c>
      <c r="AF18" s="5">
        <f aca="true" t="shared" si="30" ref="AF18:AG22">H18+T18</f>
        <v>436</v>
      </c>
      <c r="AG18" s="5">
        <f t="shared" si="30"/>
        <v>50</v>
      </c>
      <c r="AH18" s="5">
        <f t="shared" si="26"/>
        <v>301</v>
      </c>
      <c r="AI18" s="5">
        <f aca="true" t="shared" si="31" ref="AI18:AJ22">K18+W18</f>
        <v>274</v>
      </c>
      <c r="AJ18" s="5">
        <f t="shared" si="31"/>
        <v>27</v>
      </c>
      <c r="AK18" s="5">
        <f t="shared" si="27"/>
        <v>185</v>
      </c>
      <c r="AL18" s="35">
        <f t="shared" si="23"/>
        <v>0.6193415637860082</v>
      </c>
      <c r="AM18" s="7">
        <f aca="true" t="shared" si="32" ref="AM18:AN22">AI18/AF18</f>
        <v>0.6284403669724771</v>
      </c>
      <c r="AN18" s="7">
        <f t="shared" si="32"/>
        <v>0.54</v>
      </c>
      <c r="AO18" s="7">
        <f t="shared" si="17"/>
        <v>0.38065843621399176</v>
      </c>
      <c r="AR18" s="7">
        <f t="shared" si="18"/>
        <v>0.13043478260869565</v>
      </c>
    </row>
    <row r="19" spans="1:44" ht="12">
      <c r="A19" s="9" t="s">
        <v>29</v>
      </c>
      <c r="B19" t="s">
        <v>110</v>
      </c>
      <c r="C19" s="5" t="s">
        <v>150</v>
      </c>
      <c r="D19" s="6">
        <v>40179</v>
      </c>
      <c r="E19" s="16">
        <v>0.6</v>
      </c>
      <c r="G19" s="5">
        <f>H19+I19</f>
        <v>84</v>
      </c>
      <c r="H19" s="5">
        <v>72</v>
      </c>
      <c r="I19" s="5">
        <v>12</v>
      </c>
      <c r="J19" s="5">
        <f>K19+L19</f>
        <v>66</v>
      </c>
      <c r="K19" s="5">
        <v>57</v>
      </c>
      <c r="L19" s="5">
        <v>9</v>
      </c>
      <c r="M19" s="5">
        <f t="shared" si="2"/>
        <v>18</v>
      </c>
      <c r="N19" s="7">
        <f t="shared" si="24"/>
        <v>0.7857142857142857</v>
      </c>
      <c r="O19" s="7">
        <f t="shared" si="28"/>
        <v>0.7916666666666666</v>
      </c>
      <c r="P19" s="7">
        <f t="shared" si="28"/>
        <v>0.75</v>
      </c>
      <c r="Q19" s="7">
        <f t="shared" si="6"/>
        <v>0.21428571428571427</v>
      </c>
      <c r="S19" s="5">
        <f>T19+U19</f>
        <v>247</v>
      </c>
      <c r="T19" s="5">
        <v>183</v>
      </c>
      <c r="U19" s="5">
        <v>64</v>
      </c>
      <c r="V19" s="5">
        <f>W19+X19</f>
        <v>151</v>
      </c>
      <c r="W19" s="5">
        <v>123</v>
      </c>
      <c r="X19" s="5">
        <v>28</v>
      </c>
      <c r="Y19" s="5">
        <f t="shared" si="7"/>
        <v>96</v>
      </c>
      <c r="Z19" s="7">
        <f t="shared" si="19"/>
        <v>0.611336032388664</v>
      </c>
      <c r="AA19" s="7">
        <f t="shared" si="29"/>
        <v>0.6721311475409836</v>
      </c>
      <c r="AB19" s="7">
        <f t="shared" si="29"/>
        <v>0.4375</v>
      </c>
      <c r="AC19" s="7">
        <f t="shared" si="8"/>
        <v>0.38866396761133604</v>
      </c>
      <c r="AE19" s="5">
        <f t="shared" si="25"/>
        <v>331</v>
      </c>
      <c r="AF19" s="5">
        <f t="shared" si="30"/>
        <v>255</v>
      </c>
      <c r="AG19" s="5">
        <f t="shared" si="30"/>
        <v>76</v>
      </c>
      <c r="AH19" s="5">
        <f t="shared" si="26"/>
        <v>217</v>
      </c>
      <c r="AI19" s="5">
        <f t="shared" si="31"/>
        <v>180</v>
      </c>
      <c r="AJ19" s="5">
        <f t="shared" si="31"/>
        <v>37</v>
      </c>
      <c r="AK19" s="5">
        <f t="shared" si="27"/>
        <v>114</v>
      </c>
      <c r="AL19" s="35">
        <f t="shared" si="23"/>
        <v>0.6555891238670695</v>
      </c>
      <c r="AM19" s="7">
        <f t="shared" si="32"/>
        <v>0.7058823529411765</v>
      </c>
      <c r="AN19" s="7">
        <f t="shared" si="32"/>
        <v>0.4868421052631579</v>
      </c>
      <c r="AO19" s="7">
        <f t="shared" si="17"/>
        <v>0.34441087613293053</v>
      </c>
      <c r="AR19" s="7">
        <f t="shared" si="18"/>
        <v>0.34972677595628415</v>
      </c>
    </row>
    <row r="20" spans="1:44" ht="12">
      <c r="A20" s="9" t="s">
        <v>30</v>
      </c>
      <c r="B20" t="s">
        <v>44</v>
      </c>
      <c r="C20" s="5" t="s">
        <v>159</v>
      </c>
      <c r="D20" s="6">
        <v>40179</v>
      </c>
      <c r="E20" s="16">
        <v>0.6</v>
      </c>
      <c r="F20" s="8" t="s">
        <v>101</v>
      </c>
      <c r="G20" s="5">
        <f>H20+I20</f>
        <v>180</v>
      </c>
      <c r="H20" s="5">
        <v>141</v>
      </c>
      <c r="I20" s="5">
        <v>39</v>
      </c>
      <c r="J20" s="5">
        <f>K20+L20</f>
        <v>111</v>
      </c>
      <c r="K20" s="5">
        <v>99</v>
      </c>
      <c r="L20" s="5">
        <v>12</v>
      </c>
      <c r="M20" s="5">
        <f t="shared" si="2"/>
        <v>69</v>
      </c>
      <c r="N20" s="7">
        <f t="shared" si="24"/>
        <v>0.6166666666666667</v>
      </c>
      <c r="O20" s="7">
        <f t="shared" si="28"/>
        <v>0.7021276595744681</v>
      </c>
      <c r="P20" s="7">
        <f t="shared" si="28"/>
        <v>0.3076923076923077</v>
      </c>
      <c r="Q20" s="7">
        <f t="shared" si="6"/>
        <v>0.38333333333333336</v>
      </c>
      <c r="S20" s="5">
        <f>T20+U20</f>
        <v>477</v>
      </c>
      <c r="T20" s="5">
        <v>418</v>
      </c>
      <c r="U20" s="5">
        <v>59</v>
      </c>
      <c r="V20" s="5">
        <f>W20+X20</f>
        <v>290</v>
      </c>
      <c r="W20" s="5">
        <v>272</v>
      </c>
      <c r="X20" s="5">
        <v>18</v>
      </c>
      <c r="Y20" s="5">
        <f t="shared" si="7"/>
        <v>187</v>
      </c>
      <c r="Z20" s="7">
        <f t="shared" si="19"/>
        <v>0.6079664570230608</v>
      </c>
      <c r="AA20" s="7">
        <f t="shared" si="29"/>
        <v>0.6507177033492823</v>
      </c>
      <c r="AB20" s="7">
        <f t="shared" si="29"/>
        <v>0.3050847457627119</v>
      </c>
      <c r="AC20" s="7">
        <f t="shared" si="8"/>
        <v>0.3920335429769392</v>
      </c>
      <c r="AE20" s="5">
        <f t="shared" si="25"/>
        <v>657</v>
      </c>
      <c r="AF20" s="5">
        <f t="shared" si="30"/>
        <v>559</v>
      </c>
      <c r="AG20" s="5">
        <f t="shared" si="30"/>
        <v>98</v>
      </c>
      <c r="AH20" s="5">
        <f t="shared" si="26"/>
        <v>401</v>
      </c>
      <c r="AI20" s="5">
        <f t="shared" si="31"/>
        <v>371</v>
      </c>
      <c r="AJ20" s="5">
        <f t="shared" si="31"/>
        <v>30</v>
      </c>
      <c r="AK20" s="5">
        <f t="shared" si="27"/>
        <v>256</v>
      </c>
      <c r="AL20" s="35">
        <f t="shared" si="23"/>
        <v>0.6103500761035008</v>
      </c>
      <c r="AM20" s="7">
        <f t="shared" si="32"/>
        <v>0.6636851520572451</v>
      </c>
      <c r="AN20" s="7">
        <f t="shared" si="32"/>
        <v>0.30612244897959184</v>
      </c>
      <c r="AO20" s="7">
        <f t="shared" si="17"/>
        <v>0.3896499238964992</v>
      </c>
      <c r="AR20" s="7">
        <f t="shared" si="18"/>
        <v>0.14114832535885166</v>
      </c>
    </row>
    <row r="21" spans="1:44" ht="12">
      <c r="A21" s="9" t="s">
        <v>28</v>
      </c>
      <c r="B21" t="s">
        <v>58</v>
      </c>
      <c r="C21" s="5" t="s">
        <v>149</v>
      </c>
      <c r="E21" s="16">
        <v>0.54</v>
      </c>
      <c r="G21" s="5">
        <v>250</v>
      </c>
      <c r="H21" s="5" t="s">
        <v>38</v>
      </c>
      <c r="J21" s="5">
        <f>0.7*G21</f>
        <v>175</v>
      </c>
      <c r="M21" s="5">
        <f t="shared" si="2"/>
        <v>75</v>
      </c>
      <c r="N21" s="7">
        <f t="shared" si="24"/>
        <v>0.7</v>
      </c>
      <c r="O21" s="7" t="e">
        <f t="shared" si="28"/>
        <v>#VALUE!</v>
      </c>
      <c r="P21" s="7" t="e">
        <f t="shared" si="28"/>
        <v>#DIV/0!</v>
      </c>
      <c r="Q21" s="7">
        <f t="shared" si="6"/>
        <v>0.3</v>
      </c>
      <c r="S21" s="5">
        <f>T21+U21</f>
        <v>402</v>
      </c>
      <c r="T21" s="5">
        <v>333</v>
      </c>
      <c r="U21" s="5">
        <v>69</v>
      </c>
      <c r="V21" s="5">
        <f>W21+X21</f>
        <v>227</v>
      </c>
      <c r="W21" s="5">
        <v>175</v>
      </c>
      <c r="X21" s="5">
        <v>52</v>
      </c>
      <c r="Y21" s="5">
        <f t="shared" si="7"/>
        <v>175</v>
      </c>
      <c r="Z21" s="7">
        <f t="shared" si="19"/>
        <v>0.5646766169154229</v>
      </c>
      <c r="AA21" s="7">
        <f t="shared" si="29"/>
        <v>0.5255255255255256</v>
      </c>
      <c r="AB21" s="7">
        <f t="shared" si="29"/>
        <v>0.7536231884057971</v>
      </c>
      <c r="AC21" s="7">
        <f t="shared" si="8"/>
        <v>0.43532338308457713</v>
      </c>
      <c r="AE21" s="5">
        <f t="shared" si="25"/>
        <v>652</v>
      </c>
      <c r="AF21" s="5" t="e">
        <f t="shared" si="30"/>
        <v>#VALUE!</v>
      </c>
      <c r="AG21" s="5">
        <f t="shared" si="30"/>
        <v>69</v>
      </c>
      <c r="AH21" s="5">
        <f t="shared" si="26"/>
        <v>402</v>
      </c>
      <c r="AI21" s="5">
        <f t="shared" si="31"/>
        <v>175</v>
      </c>
      <c r="AJ21" s="5">
        <f t="shared" si="31"/>
        <v>52</v>
      </c>
      <c r="AK21" s="5">
        <f t="shared" si="27"/>
        <v>250</v>
      </c>
      <c r="AL21" s="35">
        <f t="shared" si="23"/>
        <v>0.6165644171779141</v>
      </c>
      <c r="AM21" s="7" t="e">
        <f t="shared" si="32"/>
        <v>#VALUE!</v>
      </c>
      <c r="AN21" s="7">
        <f t="shared" si="32"/>
        <v>0.7536231884057971</v>
      </c>
      <c r="AO21" s="7">
        <f t="shared" si="17"/>
        <v>0.3834355828220859</v>
      </c>
      <c r="AR21" s="7">
        <f t="shared" si="18"/>
        <v>0.2072072072072072</v>
      </c>
    </row>
    <row r="22" spans="1:44" ht="12">
      <c r="A22" s="5" t="s">
        <v>13</v>
      </c>
      <c r="B22" s="5" t="s">
        <v>14</v>
      </c>
      <c r="C22" s="5" t="s">
        <v>153</v>
      </c>
      <c r="E22" s="16">
        <v>0.5</v>
      </c>
      <c r="G22" s="5">
        <f>H22+I22</f>
        <v>263</v>
      </c>
      <c r="H22" s="5">
        <v>232</v>
      </c>
      <c r="I22" s="5">
        <v>31</v>
      </c>
      <c r="J22" s="5">
        <f>K22+L22</f>
        <v>177</v>
      </c>
      <c r="K22" s="5">
        <v>166</v>
      </c>
      <c r="L22" s="5">
        <v>11</v>
      </c>
      <c r="M22" s="5">
        <f t="shared" si="2"/>
        <v>86</v>
      </c>
      <c r="N22" s="7">
        <f t="shared" si="24"/>
        <v>0.6730038022813688</v>
      </c>
      <c r="O22" s="7">
        <f t="shared" si="28"/>
        <v>0.7155172413793104</v>
      </c>
      <c r="P22" s="7">
        <f t="shared" si="28"/>
        <v>0.3548387096774194</v>
      </c>
      <c r="Q22" s="7">
        <f t="shared" si="6"/>
        <v>0.3269961977186312</v>
      </c>
      <c r="S22" s="5">
        <f>T22+U22</f>
        <v>340</v>
      </c>
      <c r="T22" s="5">
        <v>307</v>
      </c>
      <c r="U22" s="5">
        <v>33</v>
      </c>
      <c r="V22" s="5">
        <f>W22+X22</f>
        <v>208</v>
      </c>
      <c r="W22" s="5">
        <v>198</v>
      </c>
      <c r="X22" s="5">
        <v>10</v>
      </c>
      <c r="Y22" s="5">
        <f t="shared" si="7"/>
        <v>132</v>
      </c>
      <c r="Z22" s="7">
        <f t="shared" si="19"/>
        <v>0.611764705882353</v>
      </c>
      <c r="AA22" s="7">
        <f t="shared" si="29"/>
        <v>0.6449511400651465</v>
      </c>
      <c r="AB22" s="7">
        <f t="shared" si="29"/>
        <v>0.30303030303030304</v>
      </c>
      <c r="AC22" s="7">
        <f t="shared" si="8"/>
        <v>0.38823529411764707</v>
      </c>
      <c r="AE22" s="5">
        <f t="shared" si="25"/>
        <v>603</v>
      </c>
      <c r="AF22" s="5">
        <f t="shared" si="30"/>
        <v>539</v>
      </c>
      <c r="AG22" s="5">
        <f t="shared" si="30"/>
        <v>64</v>
      </c>
      <c r="AH22" s="5">
        <f t="shared" si="26"/>
        <v>385</v>
      </c>
      <c r="AI22" s="5">
        <f t="shared" si="31"/>
        <v>364</v>
      </c>
      <c r="AJ22" s="5">
        <f t="shared" si="31"/>
        <v>21</v>
      </c>
      <c r="AK22" s="5">
        <f t="shared" si="27"/>
        <v>218</v>
      </c>
      <c r="AL22" s="35">
        <f t="shared" si="23"/>
        <v>0.6384742951907131</v>
      </c>
      <c r="AM22" s="7">
        <f t="shared" si="32"/>
        <v>0.6753246753246753</v>
      </c>
      <c r="AN22" s="7">
        <f t="shared" si="32"/>
        <v>0.328125</v>
      </c>
      <c r="AO22" s="7">
        <f t="shared" si="17"/>
        <v>0.3615257048092869</v>
      </c>
      <c r="AR22" s="7">
        <f t="shared" si="18"/>
        <v>0.10749185667752444</v>
      </c>
    </row>
    <row r="23" spans="5:44" ht="12">
      <c r="E23" s="6"/>
      <c r="N23" s="7"/>
      <c r="O23" s="7"/>
      <c r="P23" s="7"/>
      <c r="Q23" s="7"/>
      <c r="Z23" s="7"/>
      <c r="AA23" s="7"/>
      <c r="AB23" s="7"/>
      <c r="AC23" s="7"/>
      <c r="AM23" s="7"/>
      <c r="AN23" s="7"/>
      <c r="AO23" s="7"/>
      <c r="AR23" s="7"/>
    </row>
    <row r="24" ht="12">
      <c r="A24" s="37" t="s">
        <v>105</v>
      </c>
    </row>
    <row r="25" spans="1:44" ht="12">
      <c r="A25" s="9" t="s">
        <v>84</v>
      </c>
      <c r="B25" s="9"/>
      <c r="D25" s="10"/>
      <c r="E25" s="16">
        <v>0.85</v>
      </c>
      <c r="F25" s="11"/>
      <c r="G25" s="5">
        <f aca="true" t="shared" si="33" ref="G25:G31">H25+I25</f>
        <v>301</v>
      </c>
      <c r="H25" s="5">
        <v>288</v>
      </c>
      <c r="I25" s="5">
        <v>13</v>
      </c>
      <c r="J25" s="5">
        <f aca="true" t="shared" si="34" ref="J25:J31">K25+L25</f>
        <v>269</v>
      </c>
      <c r="K25" s="5">
        <v>263</v>
      </c>
      <c r="L25" s="5">
        <v>6</v>
      </c>
      <c r="M25" s="5">
        <f aca="true" t="shared" si="35" ref="M25:M33">G25-J25</f>
        <v>32</v>
      </c>
      <c r="N25" s="7">
        <f aca="true" t="shared" si="36" ref="N25:P33">J25/G25</f>
        <v>0.893687707641196</v>
      </c>
      <c r="O25" s="7">
        <f t="shared" si="36"/>
        <v>0.9131944444444444</v>
      </c>
      <c r="P25" s="7">
        <f t="shared" si="36"/>
        <v>0.46153846153846156</v>
      </c>
      <c r="Q25" s="7">
        <f aca="true" t="shared" si="37" ref="Q25:Q33">M25/G25</f>
        <v>0.10631229235880399</v>
      </c>
      <c r="S25" s="5">
        <v>1028</v>
      </c>
      <c r="T25" s="5">
        <v>676</v>
      </c>
      <c r="U25" s="5">
        <v>352</v>
      </c>
      <c r="V25" s="5">
        <f aca="true" t="shared" si="38" ref="V25:V32">W25+X25</f>
        <v>841</v>
      </c>
      <c r="W25" s="5">
        <v>630</v>
      </c>
      <c r="X25" s="5">
        <v>211</v>
      </c>
      <c r="Y25" s="5">
        <f aca="true" t="shared" si="39" ref="Y25:Y33">S25-V25</f>
        <v>187</v>
      </c>
      <c r="Z25" s="7">
        <f aca="true" t="shared" si="40" ref="Z25:AB33">V25/S25</f>
        <v>0.8180933852140078</v>
      </c>
      <c r="AA25" s="7">
        <f t="shared" si="40"/>
        <v>0.9319526627218935</v>
      </c>
      <c r="AB25" s="7">
        <f t="shared" si="40"/>
        <v>0.5994318181818182</v>
      </c>
      <c r="AC25" s="7">
        <f aca="true" t="shared" si="41" ref="AC25:AC33">Y25/S25</f>
        <v>0.1819066147859922</v>
      </c>
      <c r="AE25" s="5">
        <f aca="true" t="shared" si="42" ref="AE25:AK33">G25+S25</f>
        <v>1329</v>
      </c>
      <c r="AF25" s="5">
        <f t="shared" si="42"/>
        <v>964</v>
      </c>
      <c r="AG25" s="5">
        <f t="shared" si="42"/>
        <v>365</v>
      </c>
      <c r="AH25" s="5">
        <f t="shared" si="42"/>
        <v>1110</v>
      </c>
      <c r="AI25" s="5">
        <f t="shared" si="42"/>
        <v>893</v>
      </c>
      <c r="AJ25" s="5">
        <f t="shared" si="42"/>
        <v>217</v>
      </c>
      <c r="AK25" s="5">
        <f t="shared" si="42"/>
        <v>219</v>
      </c>
      <c r="AL25" s="35">
        <f aca="true" t="shared" si="43" ref="AL25:AN27">AH25/AE25</f>
        <v>0.835214446952596</v>
      </c>
      <c r="AM25" s="7">
        <f t="shared" si="43"/>
        <v>0.9263485477178424</v>
      </c>
      <c r="AN25" s="7">
        <f t="shared" si="43"/>
        <v>0.5945205479452055</v>
      </c>
      <c r="AO25" s="7">
        <f aca="true" t="shared" si="44" ref="AO25:AO33">AK25/AE25</f>
        <v>0.16478555304740405</v>
      </c>
      <c r="AR25" s="7">
        <f aca="true" t="shared" si="45" ref="AR25:AR33">U25/T25</f>
        <v>0.5207100591715976</v>
      </c>
    </row>
    <row r="26" spans="1:44" ht="12">
      <c r="A26" s="9" t="s">
        <v>36</v>
      </c>
      <c r="B26"/>
      <c r="E26" s="16">
        <v>0.8</v>
      </c>
      <c r="G26" s="5">
        <f t="shared" si="33"/>
        <v>903</v>
      </c>
      <c r="H26" s="5">
        <v>873</v>
      </c>
      <c r="I26" s="5">
        <v>30</v>
      </c>
      <c r="J26" s="5">
        <f t="shared" si="34"/>
        <v>809</v>
      </c>
      <c r="K26" s="5">
        <v>789</v>
      </c>
      <c r="L26" s="5">
        <v>20</v>
      </c>
      <c r="M26" s="5">
        <f t="shared" si="35"/>
        <v>94</v>
      </c>
      <c r="N26" s="7">
        <f t="shared" si="36"/>
        <v>0.8959025470653378</v>
      </c>
      <c r="O26" s="7">
        <f t="shared" si="36"/>
        <v>0.9037800687285223</v>
      </c>
      <c r="P26" s="7">
        <f t="shared" si="36"/>
        <v>0.6666666666666666</v>
      </c>
      <c r="Q26" s="7">
        <f t="shared" si="37"/>
        <v>0.10409745293466224</v>
      </c>
      <c r="S26" s="5">
        <f aca="true" t="shared" si="46" ref="S26:S32">T26+U26</f>
        <v>2086</v>
      </c>
      <c r="T26" s="5">
        <v>1777</v>
      </c>
      <c r="U26" s="5">
        <v>309</v>
      </c>
      <c r="V26" s="5">
        <f t="shared" si="38"/>
        <v>1692</v>
      </c>
      <c r="W26" s="5">
        <v>1492</v>
      </c>
      <c r="X26" s="5">
        <v>200</v>
      </c>
      <c r="Y26" s="5">
        <f t="shared" si="39"/>
        <v>394</v>
      </c>
      <c r="Z26" s="7">
        <f t="shared" si="40"/>
        <v>0.8111217641418984</v>
      </c>
      <c r="AA26" s="7">
        <f t="shared" si="40"/>
        <v>0.8396173325830051</v>
      </c>
      <c r="AB26" s="7">
        <f t="shared" si="40"/>
        <v>0.6472491909385113</v>
      </c>
      <c r="AC26" s="7">
        <f t="shared" si="41"/>
        <v>0.18887823585810162</v>
      </c>
      <c r="AE26" s="5">
        <f t="shared" si="42"/>
        <v>2989</v>
      </c>
      <c r="AF26" s="5">
        <f t="shared" si="42"/>
        <v>2650</v>
      </c>
      <c r="AG26" s="5">
        <f t="shared" si="42"/>
        <v>339</v>
      </c>
      <c r="AH26" s="5">
        <f t="shared" si="42"/>
        <v>2501</v>
      </c>
      <c r="AI26" s="5">
        <f t="shared" si="42"/>
        <v>2281</v>
      </c>
      <c r="AJ26" s="5">
        <f t="shared" si="42"/>
        <v>220</v>
      </c>
      <c r="AK26" s="5">
        <f t="shared" si="42"/>
        <v>488</v>
      </c>
      <c r="AL26" s="35">
        <f t="shared" si="43"/>
        <v>0.8367346938775511</v>
      </c>
      <c r="AM26" s="7">
        <f t="shared" si="43"/>
        <v>0.860754716981132</v>
      </c>
      <c r="AN26" s="7">
        <f t="shared" si="43"/>
        <v>0.6489675516224189</v>
      </c>
      <c r="AO26" s="7">
        <f t="shared" si="44"/>
        <v>0.16326530612244897</v>
      </c>
      <c r="AR26" s="7">
        <f t="shared" si="45"/>
        <v>0.1738885762521103</v>
      </c>
    </row>
    <row r="27" spans="1:44" ht="12">
      <c r="A27" s="9" t="s">
        <v>37</v>
      </c>
      <c r="B27"/>
      <c r="E27" s="16">
        <v>0.8</v>
      </c>
      <c r="G27" s="5">
        <f t="shared" si="33"/>
        <v>371</v>
      </c>
      <c r="H27" s="5">
        <v>347</v>
      </c>
      <c r="I27" s="5">
        <v>24</v>
      </c>
      <c r="J27" s="5">
        <f t="shared" si="34"/>
        <v>321</v>
      </c>
      <c r="K27" s="5">
        <v>304</v>
      </c>
      <c r="L27" s="5">
        <v>17</v>
      </c>
      <c r="M27" s="5">
        <f t="shared" si="35"/>
        <v>50</v>
      </c>
      <c r="N27" s="7">
        <f t="shared" si="36"/>
        <v>0.8652291105121294</v>
      </c>
      <c r="O27" s="7">
        <f t="shared" si="36"/>
        <v>0.8760806916426513</v>
      </c>
      <c r="P27" s="7">
        <f t="shared" si="36"/>
        <v>0.7083333333333334</v>
      </c>
      <c r="Q27" s="7">
        <f t="shared" si="37"/>
        <v>0.1347708894878706</v>
      </c>
      <c r="S27" s="5">
        <f t="shared" si="46"/>
        <v>780</v>
      </c>
      <c r="T27" s="5">
        <v>645</v>
      </c>
      <c r="U27" s="5">
        <v>135</v>
      </c>
      <c r="V27" s="5">
        <f t="shared" si="38"/>
        <v>618</v>
      </c>
      <c r="W27" s="5">
        <v>528</v>
      </c>
      <c r="X27" s="5">
        <v>90</v>
      </c>
      <c r="Y27" s="5">
        <f t="shared" si="39"/>
        <v>162</v>
      </c>
      <c r="Z27" s="7">
        <f t="shared" si="40"/>
        <v>0.7923076923076923</v>
      </c>
      <c r="AA27" s="7">
        <f t="shared" si="40"/>
        <v>0.8186046511627907</v>
      </c>
      <c r="AB27" s="7">
        <f t="shared" si="40"/>
        <v>0.6666666666666666</v>
      </c>
      <c r="AC27" s="7">
        <f t="shared" si="41"/>
        <v>0.2076923076923077</v>
      </c>
      <c r="AE27" s="5">
        <f t="shared" si="42"/>
        <v>1151</v>
      </c>
      <c r="AF27" s="5">
        <f t="shared" si="42"/>
        <v>992</v>
      </c>
      <c r="AG27" s="5">
        <f t="shared" si="42"/>
        <v>159</v>
      </c>
      <c r="AH27" s="5">
        <f t="shared" si="42"/>
        <v>939</v>
      </c>
      <c r="AI27" s="5">
        <f t="shared" si="42"/>
        <v>832</v>
      </c>
      <c r="AJ27" s="5">
        <f t="shared" si="42"/>
        <v>107</v>
      </c>
      <c r="AK27" s="5">
        <f t="shared" si="42"/>
        <v>212</v>
      </c>
      <c r="AL27" s="35">
        <f t="shared" si="43"/>
        <v>0.8158123370981755</v>
      </c>
      <c r="AM27" s="7">
        <f t="shared" si="43"/>
        <v>0.8387096774193549</v>
      </c>
      <c r="AN27" s="7">
        <f t="shared" si="43"/>
        <v>0.6729559748427673</v>
      </c>
      <c r="AO27" s="7">
        <f t="shared" si="44"/>
        <v>0.1841876629018245</v>
      </c>
      <c r="AR27" s="7">
        <f t="shared" si="45"/>
        <v>0.20930232558139536</v>
      </c>
    </row>
    <row r="28" spans="1:44" ht="12">
      <c r="A28" s="13" t="s">
        <v>24</v>
      </c>
      <c r="B28"/>
      <c r="E28" s="16">
        <f>(0.71+0.85)/2</f>
        <v>0.78</v>
      </c>
      <c r="G28" s="5">
        <f t="shared" si="33"/>
        <v>0</v>
      </c>
      <c r="J28" s="5">
        <f t="shared" si="34"/>
        <v>0</v>
      </c>
      <c r="M28" s="5">
        <f t="shared" si="35"/>
        <v>0</v>
      </c>
      <c r="N28" s="7" t="e">
        <f t="shared" si="36"/>
        <v>#DIV/0!</v>
      </c>
      <c r="O28" s="7" t="e">
        <f t="shared" si="36"/>
        <v>#DIV/0!</v>
      </c>
      <c r="P28" s="7" t="e">
        <f t="shared" si="36"/>
        <v>#DIV/0!</v>
      </c>
      <c r="Q28" s="7" t="e">
        <f t="shared" si="37"/>
        <v>#DIV/0!</v>
      </c>
      <c r="S28" s="5">
        <f t="shared" si="46"/>
        <v>0</v>
      </c>
      <c r="V28" s="5">
        <f t="shared" si="38"/>
        <v>0</v>
      </c>
      <c r="Y28" s="5">
        <f t="shared" si="39"/>
        <v>0</v>
      </c>
      <c r="Z28" s="7" t="e">
        <f t="shared" si="40"/>
        <v>#DIV/0!</v>
      </c>
      <c r="AA28" s="7" t="e">
        <f t="shared" si="40"/>
        <v>#DIV/0!</v>
      </c>
      <c r="AB28" s="7" t="e">
        <f t="shared" si="40"/>
        <v>#DIV/0!</v>
      </c>
      <c r="AC28" s="7" t="e">
        <f t="shared" si="41"/>
        <v>#DIV/0!</v>
      </c>
      <c r="AE28" s="5">
        <f t="shared" si="42"/>
        <v>0</v>
      </c>
      <c r="AF28" s="5">
        <f t="shared" si="42"/>
        <v>0</v>
      </c>
      <c r="AG28" s="5">
        <f t="shared" si="42"/>
        <v>0</v>
      </c>
      <c r="AH28" s="5">
        <f t="shared" si="42"/>
        <v>0</v>
      </c>
      <c r="AI28" s="5">
        <f t="shared" si="42"/>
        <v>0</v>
      </c>
      <c r="AJ28" s="5">
        <f t="shared" si="42"/>
        <v>0</v>
      </c>
      <c r="AK28" s="5">
        <f t="shared" si="42"/>
        <v>0</v>
      </c>
      <c r="AL28" s="35">
        <v>0.77</v>
      </c>
      <c r="AM28" s="7" t="e">
        <f aca="true" t="shared" si="47" ref="AM28:AN33">AI28/AF28</f>
        <v>#DIV/0!</v>
      </c>
      <c r="AN28" s="7" t="e">
        <f t="shared" si="47"/>
        <v>#DIV/0!</v>
      </c>
      <c r="AO28" s="7" t="e">
        <f t="shared" si="44"/>
        <v>#DIV/0!</v>
      </c>
      <c r="AR28" s="7" t="e">
        <f t="shared" si="45"/>
        <v>#DIV/0!</v>
      </c>
    </row>
    <row r="29" spans="1:44" ht="12">
      <c r="A29" s="9" t="s">
        <v>33</v>
      </c>
      <c r="B29"/>
      <c r="E29" s="16">
        <v>0.75</v>
      </c>
      <c r="G29" s="5">
        <f t="shared" si="33"/>
        <v>691</v>
      </c>
      <c r="H29" s="5">
        <v>668</v>
      </c>
      <c r="I29" s="5">
        <v>23</v>
      </c>
      <c r="J29" s="5">
        <f t="shared" si="34"/>
        <v>566</v>
      </c>
      <c r="K29" s="5">
        <v>556</v>
      </c>
      <c r="L29" s="5">
        <v>10</v>
      </c>
      <c r="M29" s="5">
        <f t="shared" si="35"/>
        <v>125</v>
      </c>
      <c r="N29" s="7">
        <f t="shared" si="36"/>
        <v>0.8191027496382055</v>
      </c>
      <c r="O29" s="7">
        <f t="shared" si="36"/>
        <v>0.8323353293413174</v>
      </c>
      <c r="P29" s="7">
        <f t="shared" si="36"/>
        <v>0.43478260869565216</v>
      </c>
      <c r="Q29" s="7">
        <f t="shared" si="37"/>
        <v>0.1808972503617945</v>
      </c>
      <c r="S29" s="5">
        <f t="shared" si="46"/>
        <v>1186</v>
      </c>
      <c r="T29" s="5">
        <v>979</v>
      </c>
      <c r="U29" s="5">
        <v>207</v>
      </c>
      <c r="V29" s="5">
        <f t="shared" si="38"/>
        <v>846</v>
      </c>
      <c r="W29" s="5">
        <v>745</v>
      </c>
      <c r="X29" s="5">
        <v>101</v>
      </c>
      <c r="Y29" s="5">
        <f t="shared" si="39"/>
        <v>340</v>
      </c>
      <c r="Z29" s="7">
        <f t="shared" si="40"/>
        <v>0.7133220910623946</v>
      </c>
      <c r="AA29" s="7">
        <f t="shared" si="40"/>
        <v>0.7609805924412666</v>
      </c>
      <c r="AB29" s="7">
        <f t="shared" si="40"/>
        <v>0.48792270531400966</v>
      </c>
      <c r="AC29" s="7">
        <f t="shared" si="41"/>
        <v>0.2866779089376054</v>
      </c>
      <c r="AE29" s="5">
        <f t="shared" si="42"/>
        <v>1877</v>
      </c>
      <c r="AF29" s="5">
        <f t="shared" si="42"/>
        <v>1647</v>
      </c>
      <c r="AG29" s="5">
        <f t="shared" si="42"/>
        <v>230</v>
      </c>
      <c r="AH29" s="5">
        <f t="shared" si="42"/>
        <v>1412</v>
      </c>
      <c r="AI29" s="5">
        <f t="shared" si="42"/>
        <v>1301</v>
      </c>
      <c r="AJ29" s="5">
        <f t="shared" si="42"/>
        <v>111</v>
      </c>
      <c r="AK29" s="5">
        <f t="shared" si="42"/>
        <v>465</v>
      </c>
      <c r="AL29" s="35">
        <f>AH29/AE29</f>
        <v>0.7522642514651039</v>
      </c>
      <c r="AM29" s="7">
        <f t="shared" si="47"/>
        <v>0.7899210686095932</v>
      </c>
      <c r="AN29" s="7">
        <f t="shared" si="47"/>
        <v>0.4826086956521739</v>
      </c>
      <c r="AO29" s="7">
        <f t="shared" si="44"/>
        <v>0.2477357485348961</v>
      </c>
      <c r="AR29" s="7">
        <f t="shared" si="45"/>
        <v>0.21144024514811033</v>
      </c>
    </row>
    <row r="30" spans="1:44" ht="12">
      <c r="A30" s="9" t="s">
        <v>34</v>
      </c>
      <c r="B30"/>
      <c r="E30" s="16">
        <v>0.7</v>
      </c>
      <c r="G30" s="5">
        <f t="shared" si="33"/>
        <v>310</v>
      </c>
      <c r="H30" s="5">
        <v>269</v>
      </c>
      <c r="I30" s="5">
        <v>41</v>
      </c>
      <c r="J30" s="5">
        <f t="shared" si="34"/>
        <v>234</v>
      </c>
      <c r="K30" s="5">
        <v>221</v>
      </c>
      <c r="L30" s="5">
        <v>13</v>
      </c>
      <c r="M30" s="5">
        <f t="shared" si="35"/>
        <v>76</v>
      </c>
      <c r="N30" s="7">
        <f t="shared" si="36"/>
        <v>0.7548387096774194</v>
      </c>
      <c r="O30" s="7">
        <f t="shared" si="36"/>
        <v>0.8215613382899628</v>
      </c>
      <c r="P30" s="7">
        <f t="shared" si="36"/>
        <v>0.3170731707317073</v>
      </c>
      <c r="Q30" s="7">
        <f t="shared" si="37"/>
        <v>0.24516129032258063</v>
      </c>
      <c r="S30" s="5">
        <f t="shared" si="46"/>
        <v>587</v>
      </c>
      <c r="T30" s="5">
        <v>532</v>
      </c>
      <c r="U30" s="5">
        <v>55</v>
      </c>
      <c r="V30" s="5">
        <f t="shared" si="38"/>
        <v>415</v>
      </c>
      <c r="W30" s="5">
        <v>404</v>
      </c>
      <c r="X30" s="5">
        <v>11</v>
      </c>
      <c r="Y30" s="5">
        <f t="shared" si="39"/>
        <v>172</v>
      </c>
      <c r="Z30" s="7">
        <f t="shared" si="40"/>
        <v>0.706984667802385</v>
      </c>
      <c r="AA30" s="7">
        <f t="shared" si="40"/>
        <v>0.7593984962406015</v>
      </c>
      <c r="AB30" s="7">
        <f t="shared" si="40"/>
        <v>0.2</v>
      </c>
      <c r="AC30" s="7">
        <f t="shared" si="41"/>
        <v>0.293015332197615</v>
      </c>
      <c r="AE30" s="5">
        <f t="shared" si="42"/>
        <v>897</v>
      </c>
      <c r="AF30" s="5">
        <f t="shared" si="42"/>
        <v>801</v>
      </c>
      <c r="AG30" s="5">
        <f t="shared" si="42"/>
        <v>96</v>
      </c>
      <c r="AH30" s="5">
        <f t="shared" si="42"/>
        <v>649</v>
      </c>
      <c r="AI30" s="5">
        <f t="shared" si="42"/>
        <v>625</v>
      </c>
      <c r="AJ30" s="5">
        <f t="shared" si="42"/>
        <v>24</v>
      </c>
      <c r="AK30" s="5">
        <f t="shared" si="42"/>
        <v>248</v>
      </c>
      <c r="AL30" s="35">
        <f>AH30/AE30</f>
        <v>0.7235228539576366</v>
      </c>
      <c r="AM30" s="7">
        <f t="shared" si="47"/>
        <v>0.7802746566791511</v>
      </c>
      <c r="AN30" s="7">
        <f t="shared" si="47"/>
        <v>0.25</v>
      </c>
      <c r="AO30" s="7">
        <f t="shared" si="44"/>
        <v>0.27647714604236345</v>
      </c>
      <c r="AR30" s="7">
        <f t="shared" si="45"/>
        <v>0.10338345864661654</v>
      </c>
    </row>
    <row r="31" spans="1:44" ht="12">
      <c r="A31" s="9" t="s">
        <v>29</v>
      </c>
      <c r="B31"/>
      <c r="E31" s="16">
        <v>0.6</v>
      </c>
      <c r="G31" s="5">
        <f t="shared" si="33"/>
        <v>84</v>
      </c>
      <c r="H31" s="5">
        <v>72</v>
      </c>
      <c r="I31" s="5">
        <v>12</v>
      </c>
      <c r="J31" s="5">
        <f t="shared" si="34"/>
        <v>66</v>
      </c>
      <c r="K31" s="5">
        <v>57</v>
      </c>
      <c r="L31" s="5">
        <v>9</v>
      </c>
      <c r="M31" s="5">
        <f t="shared" si="35"/>
        <v>18</v>
      </c>
      <c r="N31" s="7">
        <f t="shared" si="36"/>
        <v>0.7857142857142857</v>
      </c>
      <c r="O31" s="7">
        <f t="shared" si="36"/>
        <v>0.7916666666666666</v>
      </c>
      <c r="P31" s="7">
        <f t="shared" si="36"/>
        <v>0.75</v>
      </c>
      <c r="Q31" s="7">
        <f t="shared" si="37"/>
        <v>0.21428571428571427</v>
      </c>
      <c r="S31" s="5">
        <f t="shared" si="46"/>
        <v>247</v>
      </c>
      <c r="T31" s="5">
        <v>183</v>
      </c>
      <c r="U31" s="5">
        <v>64</v>
      </c>
      <c r="V31" s="5">
        <f t="shared" si="38"/>
        <v>151</v>
      </c>
      <c r="W31" s="5">
        <v>123</v>
      </c>
      <c r="X31" s="5">
        <v>28</v>
      </c>
      <c r="Y31" s="5">
        <f t="shared" si="39"/>
        <v>96</v>
      </c>
      <c r="Z31" s="7">
        <f t="shared" si="40"/>
        <v>0.611336032388664</v>
      </c>
      <c r="AA31" s="7">
        <f t="shared" si="40"/>
        <v>0.6721311475409836</v>
      </c>
      <c r="AB31" s="7">
        <f t="shared" si="40"/>
        <v>0.4375</v>
      </c>
      <c r="AC31" s="7">
        <f t="shared" si="41"/>
        <v>0.38866396761133604</v>
      </c>
      <c r="AE31" s="5">
        <f t="shared" si="42"/>
        <v>331</v>
      </c>
      <c r="AF31" s="5">
        <f t="shared" si="42"/>
        <v>255</v>
      </c>
      <c r="AG31" s="5">
        <f t="shared" si="42"/>
        <v>76</v>
      </c>
      <c r="AH31" s="5">
        <f t="shared" si="42"/>
        <v>217</v>
      </c>
      <c r="AI31" s="5">
        <f t="shared" si="42"/>
        <v>180</v>
      </c>
      <c r="AJ31" s="5">
        <f t="shared" si="42"/>
        <v>37</v>
      </c>
      <c r="AK31" s="5">
        <f t="shared" si="42"/>
        <v>114</v>
      </c>
      <c r="AL31" s="35">
        <f>AH31/AE31</f>
        <v>0.6555891238670695</v>
      </c>
      <c r="AM31" s="7">
        <f t="shared" si="47"/>
        <v>0.7058823529411765</v>
      </c>
      <c r="AN31" s="7">
        <f t="shared" si="47"/>
        <v>0.4868421052631579</v>
      </c>
      <c r="AO31" s="7">
        <f t="shared" si="44"/>
        <v>0.34441087613293053</v>
      </c>
      <c r="AR31" s="7">
        <f t="shared" si="45"/>
        <v>0.34972677595628415</v>
      </c>
    </row>
    <row r="32" spans="1:44" ht="12">
      <c r="A32" s="9" t="s">
        <v>28</v>
      </c>
      <c r="B32"/>
      <c r="E32" s="16">
        <v>0.54</v>
      </c>
      <c r="G32" s="5">
        <v>250</v>
      </c>
      <c r="H32" s="5" t="s">
        <v>38</v>
      </c>
      <c r="J32" s="5">
        <f>0.7*G32</f>
        <v>175</v>
      </c>
      <c r="M32" s="5">
        <f t="shared" si="35"/>
        <v>75</v>
      </c>
      <c r="N32" s="7">
        <f t="shared" si="36"/>
        <v>0.7</v>
      </c>
      <c r="O32" s="7" t="e">
        <f t="shared" si="36"/>
        <v>#VALUE!</v>
      </c>
      <c r="P32" s="7" t="e">
        <f t="shared" si="36"/>
        <v>#DIV/0!</v>
      </c>
      <c r="Q32" s="7">
        <f t="shared" si="37"/>
        <v>0.3</v>
      </c>
      <c r="S32" s="5">
        <f t="shared" si="46"/>
        <v>402</v>
      </c>
      <c r="T32" s="5">
        <v>333</v>
      </c>
      <c r="U32" s="5">
        <v>69</v>
      </c>
      <c r="V32" s="5">
        <f t="shared" si="38"/>
        <v>227</v>
      </c>
      <c r="W32" s="5">
        <v>175</v>
      </c>
      <c r="X32" s="5">
        <v>52</v>
      </c>
      <c r="Y32" s="5">
        <f t="shared" si="39"/>
        <v>175</v>
      </c>
      <c r="Z32" s="7">
        <f t="shared" si="40"/>
        <v>0.5646766169154229</v>
      </c>
      <c r="AA32" s="7">
        <f t="shared" si="40"/>
        <v>0.5255255255255256</v>
      </c>
      <c r="AB32" s="7">
        <f t="shared" si="40"/>
        <v>0.7536231884057971</v>
      </c>
      <c r="AC32" s="7">
        <f t="shared" si="41"/>
        <v>0.43532338308457713</v>
      </c>
      <c r="AE32" s="5">
        <f t="shared" si="42"/>
        <v>652</v>
      </c>
      <c r="AF32" s="5" t="e">
        <f t="shared" si="42"/>
        <v>#VALUE!</v>
      </c>
      <c r="AG32" s="5">
        <f t="shared" si="42"/>
        <v>69</v>
      </c>
      <c r="AH32" s="5">
        <f t="shared" si="42"/>
        <v>402</v>
      </c>
      <c r="AI32" s="5">
        <f t="shared" si="42"/>
        <v>175</v>
      </c>
      <c r="AJ32" s="5">
        <f t="shared" si="42"/>
        <v>52</v>
      </c>
      <c r="AK32" s="5">
        <f t="shared" si="42"/>
        <v>250</v>
      </c>
      <c r="AL32" s="35">
        <f>AH32/AE32</f>
        <v>0.6165644171779141</v>
      </c>
      <c r="AM32" s="7" t="e">
        <f t="shared" si="47"/>
        <v>#VALUE!</v>
      </c>
      <c r="AN32" s="7">
        <f t="shared" si="47"/>
        <v>0.7536231884057971</v>
      </c>
      <c r="AO32" s="7">
        <f t="shared" si="44"/>
        <v>0.3834355828220859</v>
      </c>
      <c r="AR32" s="7">
        <f t="shared" si="45"/>
        <v>0.2072072072072072</v>
      </c>
    </row>
    <row r="33" spans="1:44" ht="12">
      <c r="A33" s="5" t="s">
        <v>13</v>
      </c>
      <c r="E33" s="16">
        <v>0.5</v>
      </c>
      <c r="G33" s="5">
        <f>H33+I33</f>
        <v>263</v>
      </c>
      <c r="H33" s="5">
        <v>232</v>
      </c>
      <c r="I33" s="5">
        <v>31</v>
      </c>
      <c r="J33" s="5">
        <f>K33+L33</f>
        <v>177</v>
      </c>
      <c r="K33" s="5">
        <v>166</v>
      </c>
      <c r="L33" s="5">
        <v>11</v>
      </c>
      <c r="M33" s="5">
        <f t="shared" si="35"/>
        <v>86</v>
      </c>
      <c r="N33" s="7">
        <f t="shared" si="36"/>
        <v>0.6730038022813688</v>
      </c>
      <c r="O33" s="7">
        <f t="shared" si="36"/>
        <v>0.7155172413793104</v>
      </c>
      <c r="P33" s="7">
        <f t="shared" si="36"/>
        <v>0.3548387096774194</v>
      </c>
      <c r="Q33" s="7">
        <f t="shared" si="37"/>
        <v>0.3269961977186312</v>
      </c>
      <c r="S33" s="5">
        <f>T33+U33</f>
        <v>340</v>
      </c>
      <c r="T33" s="5">
        <v>307</v>
      </c>
      <c r="U33" s="5">
        <v>33</v>
      </c>
      <c r="V33" s="5">
        <f>W33+X33</f>
        <v>208</v>
      </c>
      <c r="W33" s="5">
        <v>198</v>
      </c>
      <c r="X33" s="5">
        <v>10</v>
      </c>
      <c r="Y33" s="5">
        <f t="shared" si="39"/>
        <v>132</v>
      </c>
      <c r="Z33" s="7">
        <f t="shared" si="40"/>
        <v>0.611764705882353</v>
      </c>
      <c r="AA33" s="7">
        <f t="shared" si="40"/>
        <v>0.6449511400651465</v>
      </c>
      <c r="AB33" s="7">
        <f t="shared" si="40"/>
        <v>0.30303030303030304</v>
      </c>
      <c r="AC33" s="7">
        <f t="shared" si="41"/>
        <v>0.38823529411764707</v>
      </c>
      <c r="AE33" s="5">
        <f t="shared" si="42"/>
        <v>603</v>
      </c>
      <c r="AF33" s="5">
        <f t="shared" si="42"/>
        <v>539</v>
      </c>
      <c r="AG33" s="5">
        <f t="shared" si="42"/>
        <v>64</v>
      </c>
      <c r="AH33" s="5">
        <f t="shared" si="42"/>
        <v>385</v>
      </c>
      <c r="AI33" s="5">
        <f t="shared" si="42"/>
        <v>364</v>
      </c>
      <c r="AJ33" s="5">
        <f t="shared" si="42"/>
        <v>21</v>
      </c>
      <c r="AK33" s="5">
        <f t="shared" si="42"/>
        <v>218</v>
      </c>
      <c r="AL33" s="35">
        <f>AH33/AE33</f>
        <v>0.6384742951907131</v>
      </c>
      <c r="AM33" s="7">
        <f t="shared" si="47"/>
        <v>0.6753246753246753</v>
      </c>
      <c r="AN33" s="7">
        <f t="shared" si="47"/>
        <v>0.328125</v>
      </c>
      <c r="AO33" s="7">
        <f t="shared" si="44"/>
        <v>0.3615257048092869</v>
      </c>
      <c r="AR33" s="7">
        <f t="shared" si="45"/>
        <v>0.10749185667752444</v>
      </c>
    </row>
    <row r="35" ht="12">
      <c r="A35" s="37" t="s">
        <v>9</v>
      </c>
    </row>
    <row r="36" spans="1:44" ht="12">
      <c r="A36" t="s">
        <v>97</v>
      </c>
      <c r="B36" t="s">
        <v>11</v>
      </c>
      <c r="C36" s="5" t="s">
        <v>158</v>
      </c>
      <c r="E36" s="18">
        <v>0.85</v>
      </c>
      <c r="G36" s="5">
        <f>H36+I36</f>
        <v>0</v>
      </c>
      <c r="J36" s="5">
        <f>K36+L36</f>
        <v>0</v>
      </c>
      <c r="M36" s="5">
        <f>G36-J36</f>
        <v>0</v>
      </c>
      <c r="N36" s="7" t="e">
        <f aca="true" t="shared" si="48" ref="N36:P37">J36/G36</f>
        <v>#DIV/0!</v>
      </c>
      <c r="O36" s="7" t="e">
        <f t="shared" si="48"/>
        <v>#DIV/0!</v>
      </c>
      <c r="P36" s="7" t="e">
        <f t="shared" si="48"/>
        <v>#DIV/0!</v>
      </c>
      <c r="Q36" s="7" t="e">
        <f>M36/G36</f>
        <v>#DIV/0!</v>
      </c>
      <c r="S36" s="5">
        <f>T36+U36</f>
        <v>0</v>
      </c>
      <c r="V36" s="5">
        <f>W36+X36</f>
        <v>0</v>
      </c>
      <c r="Y36" s="5">
        <f>S36-V36</f>
        <v>0</v>
      </c>
      <c r="Z36" s="7" t="e">
        <f aca="true" t="shared" si="49" ref="Z36:AB37">V36/S36</f>
        <v>#DIV/0!</v>
      </c>
      <c r="AA36" s="7" t="e">
        <f t="shared" si="49"/>
        <v>#DIV/0!</v>
      </c>
      <c r="AB36" s="7" t="e">
        <f t="shared" si="49"/>
        <v>#DIV/0!</v>
      </c>
      <c r="AC36" s="7" t="e">
        <f>Y36/S36</f>
        <v>#DIV/0!</v>
      </c>
      <c r="AE36" s="5">
        <f aca="true" t="shared" si="50" ref="AE36:AK36">G36+S36</f>
        <v>0</v>
      </c>
      <c r="AF36" s="5">
        <f t="shared" si="50"/>
        <v>0</v>
      </c>
      <c r="AG36" s="5">
        <f t="shared" si="50"/>
        <v>0</v>
      </c>
      <c r="AH36" s="5">
        <f t="shared" si="50"/>
        <v>0</v>
      </c>
      <c r="AI36" s="5">
        <f t="shared" si="50"/>
        <v>0</v>
      </c>
      <c r="AJ36" s="5">
        <f t="shared" si="50"/>
        <v>0</v>
      </c>
      <c r="AK36" s="5">
        <f t="shared" si="50"/>
        <v>0</v>
      </c>
      <c r="AL36" s="35" t="e">
        <f aca="true" t="shared" si="51" ref="AL36:AN37">AH36/AE36</f>
        <v>#DIV/0!</v>
      </c>
      <c r="AM36" s="7" t="e">
        <f t="shared" si="51"/>
        <v>#DIV/0!</v>
      </c>
      <c r="AN36" s="7" t="e">
        <f t="shared" si="51"/>
        <v>#DIV/0!</v>
      </c>
      <c r="AO36" s="7" t="e">
        <f>AK36/AE36</f>
        <v>#DIV/0!</v>
      </c>
      <c r="AR36" s="7" t="e">
        <f>U36/T36</f>
        <v>#DIV/0!</v>
      </c>
    </row>
    <row r="37" spans="1:44" ht="12">
      <c r="A37" s="9" t="s">
        <v>31</v>
      </c>
      <c r="B37" t="s">
        <v>59</v>
      </c>
      <c r="C37" s="5" t="s">
        <v>147</v>
      </c>
      <c r="D37" s="6">
        <v>40148</v>
      </c>
      <c r="E37" s="18">
        <v>0.69</v>
      </c>
      <c r="G37" s="5">
        <f>H37+I37</f>
        <v>0</v>
      </c>
      <c r="J37" s="5">
        <f>106+146+20+17</f>
        <v>289</v>
      </c>
      <c r="N37" s="7" t="e">
        <f t="shared" si="48"/>
        <v>#DIV/0!</v>
      </c>
      <c r="O37" s="7" t="e">
        <f t="shared" si="48"/>
        <v>#DIV/0!</v>
      </c>
      <c r="P37" s="7" t="e">
        <f t="shared" si="48"/>
        <v>#DIV/0!</v>
      </c>
      <c r="Q37" s="7" t="e">
        <f>M37/G37</f>
        <v>#DIV/0!</v>
      </c>
      <c r="S37" s="5">
        <f>T37+U37</f>
        <v>0</v>
      </c>
      <c r="V37" s="5">
        <f>270+250</f>
        <v>520</v>
      </c>
      <c r="Z37" s="7" t="e">
        <f t="shared" si="49"/>
        <v>#DIV/0!</v>
      </c>
      <c r="AA37" s="7" t="e">
        <f t="shared" si="49"/>
        <v>#DIV/0!</v>
      </c>
      <c r="AB37" s="7" t="e">
        <f t="shared" si="49"/>
        <v>#DIV/0!</v>
      </c>
      <c r="AC37" s="7" t="e">
        <f>Y37/S37</f>
        <v>#DIV/0!</v>
      </c>
      <c r="AE37" s="5">
        <f aca="true" t="shared" si="52" ref="AE37:AK37">G37+S37</f>
        <v>0</v>
      </c>
      <c r="AF37" s="5">
        <f t="shared" si="52"/>
        <v>0</v>
      </c>
      <c r="AG37" s="5">
        <f t="shared" si="52"/>
        <v>0</v>
      </c>
      <c r="AH37" s="5">
        <f t="shared" si="52"/>
        <v>809</v>
      </c>
      <c r="AI37" s="5">
        <f t="shared" si="52"/>
        <v>0</v>
      </c>
      <c r="AJ37" s="5">
        <f t="shared" si="52"/>
        <v>0</v>
      </c>
      <c r="AK37" s="5">
        <f t="shared" si="52"/>
        <v>0</v>
      </c>
      <c r="AL37" s="35" t="e">
        <f t="shared" si="51"/>
        <v>#DIV/0!</v>
      </c>
      <c r="AM37" s="7" t="e">
        <f t="shared" si="51"/>
        <v>#DIV/0!</v>
      </c>
      <c r="AN37" s="7" t="e">
        <f t="shared" si="51"/>
        <v>#DIV/0!</v>
      </c>
      <c r="AO37" s="7" t="e">
        <f>AK37/AE37</f>
        <v>#DIV/0!</v>
      </c>
      <c r="AR37" s="7" t="e">
        <f>U37/T37</f>
        <v>#DIV/0!</v>
      </c>
    </row>
    <row r="38" spans="1:44" ht="12">
      <c r="A38" s="9" t="s">
        <v>102</v>
      </c>
      <c r="B38" t="s">
        <v>169</v>
      </c>
      <c r="C38" s="5" t="s">
        <v>141</v>
      </c>
      <c r="E38" s="18">
        <v>0.9</v>
      </c>
      <c r="G38" s="5">
        <f>H38+I38</f>
        <v>0</v>
      </c>
      <c r="J38" s="5">
        <f>K38+L38</f>
        <v>0</v>
      </c>
      <c r="M38" s="5">
        <f>G38-J38</f>
        <v>0</v>
      </c>
      <c r="N38" s="7" t="e">
        <f aca="true" t="shared" si="53" ref="N38:P39">J38/G38</f>
        <v>#DIV/0!</v>
      </c>
      <c r="O38" s="7" t="e">
        <f t="shared" si="53"/>
        <v>#DIV/0!</v>
      </c>
      <c r="P38" s="7" t="e">
        <f t="shared" si="53"/>
        <v>#DIV/0!</v>
      </c>
      <c r="Q38" s="7" t="e">
        <f>M38/G38</f>
        <v>#DIV/0!</v>
      </c>
      <c r="S38" s="5">
        <f>T38+U38</f>
        <v>0</v>
      </c>
      <c r="V38" s="5">
        <f>W38+X38</f>
        <v>0</v>
      </c>
      <c r="Y38" s="5">
        <f>S38-V38</f>
        <v>0</v>
      </c>
      <c r="Z38" s="7" t="e">
        <f aca="true" t="shared" si="54" ref="Z38:AB39">V38/S38</f>
        <v>#DIV/0!</v>
      </c>
      <c r="AA38" s="7" t="e">
        <f t="shared" si="54"/>
        <v>#DIV/0!</v>
      </c>
      <c r="AB38" s="7" t="e">
        <f t="shared" si="54"/>
        <v>#DIV/0!</v>
      </c>
      <c r="AC38" s="7" t="e">
        <f>Y38/S38</f>
        <v>#DIV/0!</v>
      </c>
      <c r="AE38" s="5">
        <f aca="true" t="shared" si="55" ref="AE38:AK39">G38+S38</f>
        <v>0</v>
      </c>
      <c r="AF38" s="5">
        <f t="shared" si="55"/>
        <v>0</v>
      </c>
      <c r="AG38" s="5">
        <f t="shared" si="55"/>
        <v>0</v>
      </c>
      <c r="AH38" s="5">
        <f t="shared" si="55"/>
        <v>0</v>
      </c>
      <c r="AI38" s="5">
        <f t="shared" si="55"/>
        <v>0</v>
      </c>
      <c r="AJ38" s="5">
        <f t="shared" si="55"/>
        <v>0</v>
      </c>
      <c r="AK38" s="5">
        <f t="shared" si="55"/>
        <v>0</v>
      </c>
      <c r="AL38" s="35" t="e">
        <f aca="true" t="shared" si="56" ref="AL38:AN39">AH38/AE38</f>
        <v>#DIV/0!</v>
      </c>
      <c r="AM38" s="7" t="e">
        <f t="shared" si="56"/>
        <v>#DIV/0!</v>
      </c>
      <c r="AN38" s="7" t="e">
        <f t="shared" si="56"/>
        <v>#DIV/0!</v>
      </c>
      <c r="AO38" s="7" t="e">
        <f>AK38/AE38</f>
        <v>#DIV/0!</v>
      </c>
      <c r="AR38" s="7" t="e">
        <f>U38/T38</f>
        <v>#DIV/0!</v>
      </c>
    </row>
    <row r="39" spans="1:44" ht="12">
      <c r="A39" t="s">
        <v>25</v>
      </c>
      <c r="B39" t="s">
        <v>63</v>
      </c>
      <c r="C39" s="5" t="s">
        <v>137</v>
      </c>
      <c r="E39" s="18">
        <v>0.8</v>
      </c>
      <c r="G39" s="5">
        <f>H39+I39</f>
        <v>0</v>
      </c>
      <c r="J39" s="5">
        <f>K39+L39</f>
        <v>0</v>
      </c>
      <c r="M39" s="5">
        <f>G39-J39</f>
        <v>0</v>
      </c>
      <c r="N39" s="7" t="e">
        <f t="shared" si="53"/>
        <v>#DIV/0!</v>
      </c>
      <c r="O39" s="7" t="e">
        <f t="shared" si="53"/>
        <v>#DIV/0!</v>
      </c>
      <c r="P39" s="7" t="e">
        <f t="shared" si="53"/>
        <v>#DIV/0!</v>
      </c>
      <c r="Q39" s="7" t="e">
        <f>M39/G39</f>
        <v>#DIV/0!</v>
      </c>
      <c r="S39" s="5">
        <f>T39+U39</f>
        <v>0</v>
      </c>
      <c r="V39" s="5">
        <f>W39+X39</f>
        <v>0</v>
      </c>
      <c r="Y39" s="5">
        <f>S39-V39</f>
        <v>0</v>
      </c>
      <c r="Z39" s="7" t="e">
        <f t="shared" si="54"/>
        <v>#DIV/0!</v>
      </c>
      <c r="AA39" s="7" t="e">
        <f t="shared" si="54"/>
        <v>#DIV/0!</v>
      </c>
      <c r="AB39" s="7" t="e">
        <f t="shared" si="54"/>
        <v>#DIV/0!</v>
      </c>
      <c r="AC39" s="7" t="e">
        <f>Y39/S39</f>
        <v>#DIV/0!</v>
      </c>
      <c r="AE39" s="5">
        <f t="shared" si="55"/>
        <v>0</v>
      </c>
      <c r="AF39" s="5">
        <f t="shared" si="55"/>
        <v>0</v>
      </c>
      <c r="AG39" s="5">
        <f t="shared" si="55"/>
        <v>0</v>
      </c>
      <c r="AH39" s="5">
        <f t="shared" si="55"/>
        <v>0</v>
      </c>
      <c r="AI39" s="5">
        <f t="shared" si="55"/>
        <v>0</v>
      </c>
      <c r="AJ39" s="5">
        <f t="shared" si="55"/>
        <v>0</v>
      </c>
      <c r="AK39" s="5">
        <f t="shared" si="55"/>
        <v>0</v>
      </c>
      <c r="AL39" s="35" t="e">
        <f t="shared" si="56"/>
        <v>#DIV/0!</v>
      </c>
      <c r="AM39" s="7" t="e">
        <f t="shared" si="56"/>
        <v>#DIV/0!</v>
      </c>
      <c r="AN39" s="7" t="e">
        <f t="shared" si="56"/>
        <v>#DIV/0!</v>
      </c>
      <c r="AO39" s="7" t="e">
        <f>AK39/AE39</f>
        <v>#DIV/0!</v>
      </c>
      <c r="AR39" s="7" t="e">
        <f>U39/T39</f>
        <v>#DIV/0!</v>
      </c>
    </row>
    <row r="40" spans="1:48" ht="12">
      <c r="A40" s="9" t="s">
        <v>32</v>
      </c>
      <c r="B40" t="s">
        <v>0</v>
      </c>
      <c r="C40" s="5" t="s">
        <v>148</v>
      </c>
      <c r="D40" s="6">
        <v>40179</v>
      </c>
      <c r="E40" s="18">
        <v>0.7</v>
      </c>
      <c r="F40" s="8" t="s">
        <v>1</v>
      </c>
      <c r="G40" s="5">
        <v>272</v>
      </c>
      <c r="H40" s="5" t="s">
        <v>2</v>
      </c>
      <c r="J40" s="5">
        <v>127</v>
      </c>
      <c r="N40" s="7"/>
      <c r="O40" s="7"/>
      <c r="P40" s="7"/>
      <c r="Q40" s="7"/>
      <c r="S40" s="5">
        <v>468</v>
      </c>
      <c r="T40" s="5" t="s">
        <v>2</v>
      </c>
      <c r="V40" s="5">
        <v>256</v>
      </c>
      <c r="Z40" s="7"/>
      <c r="AA40" s="7"/>
      <c r="AB40" s="7"/>
      <c r="AC40" s="7"/>
      <c r="AE40" s="5">
        <f aca="true" t="shared" si="57" ref="AE40:AK40">G40+S40</f>
        <v>740</v>
      </c>
      <c r="AF40" s="5" t="e">
        <f t="shared" si="57"/>
        <v>#VALUE!</v>
      </c>
      <c r="AG40" s="5">
        <f t="shared" si="57"/>
        <v>0</v>
      </c>
      <c r="AH40" s="5">
        <f t="shared" si="57"/>
        <v>383</v>
      </c>
      <c r="AI40" s="5">
        <f t="shared" si="57"/>
        <v>0</v>
      </c>
      <c r="AJ40" s="5">
        <f t="shared" si="57"/>
        <v>0</v>
      </c>
      <c r="AK40" s="5">
        <f t="shared" si="57"/>
        <v>0</v>
      </c>
      <c r="AL40" s="35">
        <f>AH40/AE40</f>
        <v>0.5175675675675676</v>
      </c>
      <c r="AM40" s="15" t="s">
        <v>56</v>
      </c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4" ht="12">
      <c r="A41" s="5" t="s">
        <v>64</v>
      </c>
      <c r="B41" t="s">
        <v>99</v>
      </c>
      <c r="C41" s="5" t="s">
        <v>138</v>
      </c>
      <c r="D41" s="6" t="s">
        <v>27</v>
      </c>
      <c r="E41" s="18">
        <v>0.9</v>
      </c>
      <c r="G41" s="5">
        <f>H41+I41</f>
        <v>0</v>
      </c>
      <c r="J41" s="5">
        <f>K41+L41</f>
        <v>0</v>
      </c>
      <c r="M41" s="5">
        <f>G41-J41</f>
        <v>0</v>
      </c>
      <c r="N41" s="7" t="e">
        <f>J41/G41</f>
        <v>#DIV/0!</v>
      </c>
      <c r="O41" s="7" t="e">
        <f>K41/H41</f>
        <v>#DIV/0!</v>
      </c>
      <c r="P41" s="7" t="e">
        <f>L41/I41</f>
        <v>#DIV/0!</v>
      </c>
      <c r="Q41" s="7" t="e">
        <f>M41/G41</f>
        <v>#DIV/0!</v>
      </c>
      <c r="S41" s="5">
        <f>T41+U41</f>
        <v>0</v>
      </c>
      <c r="V41" s="5">
        <f>W41+X41</f>
        <v>0</v>
      </c>
      <c r="Y41" s="5">
        <f>S41-V41</f>
        <v>0</v>
      </c>
      <c r="Z41" s="7" t="e">
        <f>V41/S41</f>
        <v>#DIV/0!</v>
      </c>
      <c r="AA41" s="7" t="e">
        <f>W41/T41</f>
        <v>#DIV/0!</v>
      </c>
      <c r="AB41" s="7" t="e">
        <f>X41/U41</f>
        <v>#DIV/0!</v>
      </c>
      <c r="AC41" s="7" t="e">
        <f>Y41/S41</f>
        <v>#DIV/0!</v>
      </c>
      <c r="AE41" s="5">
        <f aca="true" t="shared" si="58" ref="AE41:AK41">G41+S41</f>
        <v>0</v>
      </c>
      <c r="AF41" s="5">
        <f t="shared" si="58"/>
        <v>0</v>
      </c>
      <c r="AG41" s="5">
        <f t="shared" si="58"/>
        <v>0</v>
      </c>
      <c r="AH41" s="5">
        <f t="shared" si="58"/>
        <v>0</v>
      </c>
      <c r="AI41" s="5">
        <f t="shared" si="58"/>
        <v>0</v>
      </c>
      <c r="AJ41" s="5">
        <f t="shared" si="58"/>
        <v>0</v>
      </c>
      <c r="AK41" s="5">
        <f t="shared" si="58"/>
        <v>0</v>
      </c>
      <c r="AL41" s="35" t="e">
        <f>AH41/AE41</f>
        <v>#DIV/0!</v>
      </c>
      <c r="AM41" s="7" t="e">
        <f>AI41/AF41</f>
        <v>#DIV/0!</v>
      </c>
      <c r="AN41" s="7" t="e">
        <f>AJ41/AG41</f>
        <v>#DIV/0!</v>
      </c>
      <c r="AO41" s="7" t="e">
        <f>AK41/AE41</f>
        <v>#DIV/0!</v>
      </c>
      <c r="AR41" s="7" t="e">
        <f>U41/T41</f>
        <v>#DIV/0!</v>
      </c>
    </row>
  </sheetData>
  <sheetProtection/>
  <printOptions/>
  <pageMargins left="0" right="0" top="1.84" bottom="1" header="0.5" footer="0.5"/>
  <pageSetup fitToHeight="2" horizontalDpi="600" verticalDpi="600" orientation="landscape" scale="85"/>
  <headerFooter alignWithMargins="0">
    <oddHeader>&amp;C&amp;"Arial,Bold"&amp;12Town of Lexington
Eligible and Enrolled
Active Employees and
Retirees
March 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dcasey</dc:creator>
  <cp:keywords/>
  <dc:description/>
  <cp:lastModifiedBy>Patrick Mehr</cp:lastModifiedBy>
  <cp:lastPrinted>2011-04-17T20:55:35Z</cp:lastPrinted>
  <dcterms:created xsi:type="dcterms:W3CDTF">2009-03-11T13:08:59Z</dcterms:created>
  <dcterms:modified xsi:type="dcterms:W3CDTF">2017-11-08T23:06:08Z</dcterms:modified>
  <cp:category/>
  <cp:version/>
  <cp:contentType/>
  <cp:contentStatus/>
</cp:coreProperties>
</file>